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521" yWindow="15" windowWidth="9720" windowHeight="6030" tabRatio="642" activeTab="0"/>
  </bookViews>
  <sheets>
    <sheet name="Método" sheetId="1" r:id="rId1"/>
    <sheet name="Ejemplo Primaria" sheetId="2" r:id="rId2"/>
    <sheet name="Ejemplo Secundaria" sheetId="3" r:id="rId3"/>
    <sheet name="Primaria" sheetId="4" r:id="rId4"/>
    <sheet name="Secundaria" sheetId="5" r:id="rId5"/>
  </sheets>
  <definedNames>
    <definedName name="_xlnm.Print_Area" localSheetId="4">'Secundaria'!$A:$IV</definedName>
  </definedNames>
  <calcPr fullCalcOnLoad="1"/>
</workbook>
</file>

<file path=xl/comments2.xml><?xml version="1.0" encoding="utf-8"?>
<comments xmlns="http://schemas.openxmlformats.org/spreadsheetml/2006/main">
  <authors>
    <author>fisica1</author>
    <author>Fpro4</author>
  </authors>
  <commentList>
    <comment ref="F24" authorId="0">
      <text>
        <r>
          <rPr>
            <sz val="8"/>
            <rFont val="Tahoma"/>
            <family val="0"/>
          </rPr>
          <t>Todas las exploraciones se realizan en esa dirección</t>
        </r>
      </text>
    </comment>
    <comment ref="F31" authorId="0">
      <text>
        <r>
          <rPr>
            <sz val="8"/>
            <rFont val="Tahoma"/>
            <family val="0"/>
          </rPr>
          <t>Valor típico en tórax</t>
        </r>
      </text>
    </comment>
    <comment ref="F30" authorId="0">
      <text>
        <r>
          <rPr>
            <sz val="8"/>
            <rFont val="Tahoma"/>
            <family val="0"/>
          </rPr>
          <t>Valor dado por la Guía 5.11 del CSN para este tipo de sala</t>
        </r>
      </text>
    </comment>
    <comment ref="F37" authorId="0">
      <text>
        <r>
          <rPr>
            <sz val="8"/>
            <rFont val="Tahoma"/>
            <family val="0"/>
          </rPr>
          <t>A = (</t>
        </r>
        <r>
          <rPr>
            <sz val="8"/>
            <rFont val="Symbol"/>
            <family val="1"/>
          </rPr>
          <t>G</t>
        </r>
        <r>
          <rPr>
            <sz val="8"/>
            <rFont val="Tahoma"/>
            <family val="0"/>
          </rPr>
          <t>. W.T.U)/(d</t>
        </r>
        <r>
          <rPr>
            <vertAlign val="superscript"/>
            <sz val="8"/>
            <rFont val="Tahoma"/>
            <family val="2"/>
          </rPr>
          <t>2</t>
        </r>
        <r>
          <rPr>
            <sz val="8"/>
            <rFont val="Tahoma"/>
            <family val="0"/>
          </rPr>
          <t>.Hw)</t>
        </r>
      </text>
    </comment>
    <comment ref="F39" authorId="0">
      <text>
        <r>
          <rPr>
            <sz val="8"/>
            <rFont val="Tahoma"/>
            <family val="0"/>
          </rPr>
          <t>Interpolación en Figura 2  Guía 5.11 CSN.</t>
        </r>
      </text>
    </comment>
    <comment ref="F42" authorId="0">
      <text>
        <r>
          <rPr>
            <sz val="8"/>
            <rFont val="Tahoma"/>
            <family val="0"/>
          </rPr>
          <t>Interpolación en tablas DIN 6812</t>
        </r>
      </text>
    </comment>
    <comment ref="C16" authorId="1">
      <text>
        <r>
          <rPr>
            <b/>
            <sz val="8"/>
            <rFont val="Tahoma"/>
            <family val="0"/>
          </rPr>
          <t>Rellenar únicamente las celdas azules</t>
        </r>
        <r>
          <rPr>
            <sz val="8"/>
            <rFont val="Tahoma"/>
            <family val="0"/>
          </rPr>
          <t xml:space="preserve">
</t>
        </r>
      </text>
    </comment>
  </commentList>
</comments>
</file>

<file path=xl/comments3.xml><?xml version="1.0" encoding="utf-8"?>
<comments xmlns="http://schemas.openxmlformats.org/spreadsheetml/2006/main">
  <authors>
    <author>Servicio de F?sica y P.R.</author>
    <author>fisica1</author>
  </authors>
  <commentList>
    <comment ref="G33" authorId="0">
      <text>
        <r>
          <rPr>
            <sz val="8"/>
            <rFont val="Tahoma"/>
            <family val="2"/>
          </rPr>
          <t>Valor según Figura 3  Guía 5.11 CSN</t>
        </r>
      </text>
    </comment>
    <comment ref="F23" authorId="1">
      <text>
        <r>
          <rPr>
            <sz val="8"/>
            <rFont val="Tahoma"/>
            <family val="0"/>
          </rPr>
          <t>Factor de uso barrera secundaria</t>
        </r>
      </text>
    </comment>
    <comment ref="G29" authorId="1">
      <text>
        <r>
          <rPr>
            <sz val="8"/>
            <rFont val="Tahoma"/>
            <family val="0"/>
          </rPr>
          <t>Valor propuesto Guía 5.11 CSN</t>
        </r>
      </text>
    </comment>
    <comment ref="G34" authorId="1">
      <text>
        <r>
          <rPr>
            <sz val="8"/>
            <rFont val="Tahoma"/>
            <family val="2"/>
          </rPr>
          <t>Valor según Tabla 4  Guía 5.11 CSN</t>
        </r>
      </text>
    </comment>
    <comment ref="F44" authorId="1">
      <text>
        <r>
          <rPr>
            <sz val="8"/>
            <rFont val="Tahoma"/>
            <family val="0"/>
          </rPr>
          <t>Valor propuesto en  Guía 5.11 CSN para S= 400 cm</t>
        </r>
        <r>
          <rPr>
            <vertAlign val="superscript"/>
            <sz val="8"/>
            <rFont val="Tahoma"/>
            <family val="2"/>
          </rPr>
          <t>2</t>
        </r>
      </text>
    </comment>
    <comment ref="F46" authorId="1">
      <text>
        <r>
          <rPr>
            <sz val="8"/>
            <rFont val="Tahoma"/>
            <family val="0"/>
          </rPr>
          <t>A = (</t>
        </r>
        <r>
          <rPr>
            <sz val="8"/>
            <rFont val="Symbol"/>
            <family val="1"/>
          </rPr>
          <t>G</t>
        </r>
        <r>
          <rPr>
            <sz val="8"/>
            <rFont val="Tahoma"/>
            <family val="0"/>
          </rPr>
          <t>.W.T.U.a.S)/(dp</t>
        </r>
        <r>
          <rPr>
            <vertAlign val="superscript"/>
            <sz val="8"/>
            <rFont val="Tahoma"/>
            <family val="2"/>
          </rPr>
          <t>2</t>
        </r>
        <r>
          <rPr>
            <sz val="8"/>
            <rFont val="Tahoma"/>
            <family val="0"/>
          </rPr>
          <t>.ds</t>
        </r>
        <r>
          <rPr>
            <vertAlign val="superscript"/>
            <sz val="8"/>
            <rFont val="Tahoma"/>
            <family val="2"/>
          </rPr>
          <t>2</t>
        </r>
        <r>
          <rPr>
            <sz val="8"/>
            <rFont val="Tahoma"/>
            <family val="0"/>
          </rPr>
          <t>.400.Hw)</t>
        </r>
      </text>
    </comment>
    <comment ref="G46" authorId="1">
      <text>
        <r>
          <rPr>
            <sz val="8"/>
            <rFont val="Tahoma"/>
            <family val="0"/>
          </rPr>
          <t>A = (F. W.T.U)/(d</t>
        </r>
        <r>
          <rPr>
            <vertAlign val="superscript"/>
            <sz val="8"/>
            <rFont val="Tahoma"/>
            <family val="2"/>
          </rPr>
          <t>2</t>
        </r>
        <r>
          <rPr>
            <sz val="8"/>
            <rFont val="Tahoma"/>
            <family val="0"/>
          </rPr>
          <t>.Qh.Hw)</t>
        </r>
      </text>
    </comment>
    <comment ref="F48" authorId="1">
      <text>
        <r>
          <rPr>
            <sz val="8"/>
            <rFont val="Tahoma"/>
            <family val="0"/>
          </rPr>
          <t>Interpolación en Figura 2  Guía 5.11 CSN.</t>
        </r>
      </text>
    </comment>
    <comment ref="G48" authorId="1">
      <text>
        <r>
          <rPr>
            <sz val="8"/>
            <rFont val="Tahoma"/>
            <family val="0"/>
          </rPr>
          <t>E= CHR·lnA/ln2</t>
        </r>
      </text>
    </comment>
    <comment ref="F50" authorId="1">
      <text>
        <r>
          <rPr>
            <sz val="8"/>
            <rFont val="Tahoma"/>
            <family val="0"/>
          </rPr>
          <t xml:space="preserve">Si los espesores para dispersa y fuga difieren en más de 1 CDR de fuga, se desprecia el menor. Si difieren en menos de 1 CDR , se añade 1 CHR de fuga al espesor mayor. </t>
        </r>
      </text>
    </comment>
    <comment ref="F52" authorId="1">
      <text>
        <r>
          <rPr>
            <sz val="8"/>
            <rFont val="Tahoma"/>
            <family val="0"/>
          </rPr>
          <t>Interpolación en tablas DIN 6812</t>
        </r>
      </text>
    </comment>
  </commentList>
</comments>
</file>

<file path=xl/comments4.xml><?xml version="1.0" encoding="utf-8"?>
<comments xmlns="http://schemas.openxmlformats.org/spreadsheetml/2006/main">
  <authors>
    <author>Fpro4</author>
  </authors>
  <commentList>
    <comment ref="H4" authorId="0">
      <text>
        <r>
          <rPr>
            <b/>
            <sz val="8"/>
            <rFont val="Tahoma"/>
            <family val="0"/>
          </rPr>
          <t>Rellenar únicamente las celdas azules</t>
        </r>
        <r>
          <rPr>
            <sz val="8"/>
            <rFont val="Tahoma"/>
            <family val="0"/>
          </rPr>
          <t xml:space="preserve">
</t>
        </r>
      </text>
    </comment>
    <comment ref="C4" authorId="0">
      <text>
        <r>
          <rPr>
            <b/>
            <sz val="8"/>
            <rFont val="Tahoma"/>
            <family val="0"/>
          </rPr>
          <t>Rellenar únicamente las celdas azules</t>
        </r>
        <r>
          <rPr>
            <sz val="8"/>
            <rFont val="Tahoma"/>
            <family val="0"/>
          </rPr>
          <t xml:space="preserve">
</t>
        </r>
      </text>
    </comment>
  </commentList>
</comments>
</file>

<file path=xl/comments5.xml><?xml version="1.0" encoding="utf-8"?>
<comments xmlns="http://schemas.openxmlformats.org/spreadsheetml/2006/main">
  <authors>
    <author>Fpro4</author>
    <author>Servicio de F?sica y P.R.</author>
  </authors>
  <commentList>
    <comment ref="C4" authorId="0">
      <text>
        <r>
          <rPr>
            <b/>
            <sz val="8"/>
            <rFont val="Tahoma"/>
            <family val="0"/>
          </rPr>
          <t>Rellenar únicamente las celdas azules</t>
        </r>
        <r>
          <rPr>
            <sz val="8"/>
            <rFont val="Tahoma"/>
            <family val="0"/>
          </rPr>
          <t xml:space="preserve">
</t>
        </r>
      </text>
    </comment>
    <comment ref="G20" authorId="1">
      <text>
        <r>
          <rPr>
            <b/>
            <sz val="8"/>
            <rFont val="Tahoma"/>
            <family val="0"/>
          </rPr>
          <t>En corazas diseñadas para 150 KVp nominales :
1 para 150 KVp de uso
0,85 para 140 KVp de uso
0,68 para 130 KVp de uso
0,5 para 120 KVp de uso
0,3 para 110 KVp de uso
0,18 para 100KVp de uso</t>
        </r>
      </text>
    </comment>
  </commentList>
</comments>
</file>

<file path=xl/sharedStrings.xml><?xml version="1.0" encoding="utf-8"?>
<sst xmlns="http://schemas.openxmlformats.org/spreadsheetml/2006/main" count="348" uniqueCount="136">
  <si>
    <t>Para el haz primario:</t>
  </si>
  <si>
    <t>Para la radiación dispersa:</t>
  </si>
  <si>
    <t>Para la radiación de fuga:</t>
  </si>
  <si>
    <t>Siendo:</t>
  </si>
  <si>
    <t>A:</t>
  </si>
  <si>
    <t>Factor de atenuación</t>
  </si>
  <si>
    <t>W:</t>
  </si>
  <si>
    <t>Carga de trabajo en términos de mA.min/sem</t>
  </si>
  <si>
    <r>
      <t>Q</t>
    </r>
    <r>
      <rPr>
        <vertAlign val="subscript"/>
        <sz val="12"/>
        <rFont val="Times New Roman"/>
        <family val="1"/>
      </rPr>
      <t>h</t>
    </r>
    <r>
      <rPr>
        <sz val="12"/>
        <rFont val="Times New Roman"/>
        <family val="0"/>
      </rPr>
      <t xml:space="preserve"> :</t>
    </r>
  </si>
  <si>
    <t>T:</t>
  </si>
  <si>
    <t>Factor de ocupación</t>
  </si>
  <si>
    <t>U:</t>
  </si>
  <si>
    <t>Factor de uso de la barrera</t>
  </si>
  <si>
    <t>d:</t>
  </si>
  <si>
    <t>Distancia foco-barrera</t>
  </si>
  <si>
    <t>Distancia foco-paciente</t>
  </si>
  <si>
    <t>Distancia paciente-barrera secundaria</t>
  </si>
  <si>
    <t>Límite de dosis semanal en mSv, para la zona</t>
  </si>
  <si>
    <t>a:</t>
  </si>
  <si>
    <t>S:</t>
  </si>
  <si>
    <t>Tamaño de campo</t>
  </si>
  <si>
    <t>Rendimiento</t>
  </si>
  <si>
    <t>F:</t>
  </si>
  <si>
    <r>
      <t>d</t>
    </r>
    <r>
      <rPr>
        <vertAlign val="subscript"/>
        <sz val="12"/>
        <rFont val="Times New Roman"/>
        <family val="1"/>
      </rPr>
      <t>p</t>
    </r>
    <r>
      <rPr>
        <sz val="12"/>
        <rFont val="Times New Roman"/>
        <family val="0"/>
      </rPr>
      <t>:</t>
    </r>
  </si>
  <si>
    <r>
      <t>d</t>
    </r>
    <r>
      <rPr>
        <vertAlign val="subscript"/>
        <sz val="12"/>
        <rFont val="Times New Roman"/>
        <family val="1"/>
      </rPr>
      <t>s</t>
    </r>
    <r>
      <rPr>
        <sz val="12"/>
        <rFont val="Times New Roman"/>
        <family val="0"/>
      </rPr>
      <t>:</t>
    </r>
  </si>
  <si>
    <r>
      <t>H</t>
    </r>
    <r>
      <rPr>
        <vertAlign val="subscript"/>
        <sz val="12"/>
        <rFont val="Times New Roman"/>
        <family val="1"/>
      </rPr>
      <t>w</t>
    </r>
    <r>
      <rPr>
        <sz val="12"/>
        <rFont val="Times New Roman"/>
        <family val="0"/>
      </rPr>
      <t>:</t>
    </r>
  </si>
  <si>
    <r>
      <t>G</t>
    </r>
    <r>
      <rPr>
        <sz val="12"/>
        <rFont val="Times New Roman"/>
        <family val="0"/>
      </rPr>
      <t>:</t>
    </r>
  </si>
  <si>
    <r>
      <t xml:space="preserve">Carga máxima que soporta el tubo </t>
    </r>
    <r>
      <rPr>
        <sz val="10"/>
        <rFont val="Times New Roman"/>
        <family val="1"/>
      </rPr>
      <t>(300 para 100 KVp, 240 para 125 KVp, 200 para 150 KVp)</t>
    </r>
  </si>
  <si>
    <r>
      <t xml:space="preserve">Factor de dispersión </t>
    </r>
    <r>
      <rPr>
        <sz val="10"/>
        <rFont val="Times New Roman"/>
        <family val="1"/>
      </rPr>
      <t>(0,002 para campos de 400 cm</t>
    </r>
    <r>
      <rPr>
        <vertAlign val="superscript"/>
        <sz val="10"/>
        <rFont val="Times New Roman"/>
        <family val="1"/>
      </rPr>
      <t>2</t>
    </r>
    <r>
      <rPr>
        <sz val="10"/>
        <rFont val="Times New Roman"/>
        <family val="1"/>
      </rPr>
      <t xml:space="preserve"> sobre paciente)</t>
    </r>
  </si>
  <si>
    <r>
      <t xml:space="preserve">Factor corrección radiación de fuga </t>
    </r>
    <r>
      <rPr>
        <sz val="10"/>
        <rFont val="Times New Roman"/>
        <family val="1"/>
      </rPr>
      <t>(valor más desfavorable = 1)</t>
    </r>
  </si>
  <si>
    <t>Basado en la Guia CSN 5.11 "Aspectos técnicos de seguridad y protección radiológica de instalaciones médicas de rayos X para diagnóstico"</t>
  </si>
  <si>
    <t>Barrera:</t>
  </si>
  <si>
    <t>Dependencia contigua:</t>
  </si>
  <si>
    <t>Símbolo en el plano:</t>
  </si>
  <si>
    <t>Factor de uso</t>
  </si>
  <si>
    <t>Clasificación de zona</t>
  </si>
  <si>
    <t>Límite semanal (mSv)</t>
  </si>
  <si>
    <t>DATOS DE CARGA SEMANAL</t>
  </si>
  <si>
    <t>DATOS GENERALES</t>
  </si>
  <si>
    <t>CÁLCULO DE BLINDAJES PARA BARRERA PRIMARIA</t>
  </si>
  <si>
    <t>Carga semanal (mA.min)</t>
  </si>
  <si>
    <t>Tensión  máxima (50-150)</t>
  </si>
  <si>
    <r>
      <t>Rendimiento (mSv. m</t>
    </r>
    <r>
      <rPr>
        <vertAlign val="superscript"/>
        <sz val="12"/>
        <rFont val="Times New Roman"/>
        <family val="1"/>
      </rPr>
      <t>2</t>
    </r>
    <r>
      <rPr>
        <sz val="12"/>
        <rFont val="Times New Roman"/>
        <family val="0"/>
      </rPr>
      <t>/mA.min)</t>
    </r>
  </si>
  <si>
    <t>DISTANCIAS DE CÁLCULO</t>
  </si>
  <si>
    <t>Distancia foco-barrera (m)</t>
  </si>
  <si>
    <t>FACTOR DE ATENUACIÓN</t>
  </si>
  <si>
    <t>ESPESOR PLOMO (DIN 6812) (mm)</t>
  </si>
  <si>
    <t>Símbolo</t>
  </si>
  <si>
    <t>Valores</t>
  </si>
  <si>
    <t>U</t>
  </si>
  <si>
    <t>T</t>
  </si>
  <si>
    <t>W</t>
  </si>
  <si>
    <t>KVp</t>
  </si>
  <si>
    <t>G</t>
  </si>
  <si>
    <t>d</t>
  </si>
  <si>
    <t>A</t>
  </si>
  <si>
    <t>Hw</t>
  </si>
  <si>
    <t>Rendimiento (mSv.m2/mA.min)</t>
  </si>
  <si>
    <t>Kvp</t>
  </si>
  <si>
    <t>A/KVp</t>
  </si>
  <si>
    <t>Blindaje (mm Pb)</t>
  </si>
  <si>
    <t>Hormigón baritado</t>
  </si>
  <si>
    <t>mmPb/KV</t>
  </si>
  <si>
    <t xml:space="preserve">Hormigón </t>
  </si>
  <si>
    <t xml:space="preserve">Ladrillo macizo </t>
  </si>
  <si>
    <t>En negrita valores extrapolados</t>
  </si>
  <si>
    <t>CÁLCULO DE BLINDAJES PARA BARRERA SECUNDARIA</t>
  </si>
  <si>
    <t>Valores dispersa</t>
  </si>
  <si>
    <t>Valores fuga</t>
  </si>
  <si>
    <t>Carga máxima fuga (mA.min)</t>
  </si>
  <si>
    <r>
      <t>Q</t>
    </r>
    <r>
      <rPr>
        <vertAlign val="subscript"/>
        <sz val="12"/>
        <rFont val="Times New Roman"/>
        <family val="1"/>
      </rPr>
      <t>h</t>
    </r>
  </si>
  <si>
    <t>Factor corrección radiación fuga</t>
  </si>
  <si>
    <t>Capa hemirreductora fuga</t>
  </si>
  <si>
    <t>CHR</t>
  </si>
  <si>
    <t>F</t>
  </si>
  <si>
    <t>Distancia foco-paciente (m)</t>
  </si>
  <si>
    <r>
      <t>d</t>
    </r>
    <r>
      <rPr>
        <vertAlign val="subscript"/>
        <sz val="12"/>
        <rFont val="Times New Roman"/>
        <family val="1"/>
      </rPr>
      <t>p</t>
    </r>
  </si>
  <si>
    <t>Distancia paciente-barrera  (m)</t>
  </si>
  <si>
    <r>
      <t>d</t>
    </r>
    <r>
      <rPr>
        <vertAlign val="subscript"/>
        <sz val="12"/>
        <rFont val="Times New Roman"/>
        <family val="1"/>
      </rPr>
      <t>s</t>
    </r>
  </si>
  <si>
    <t>Distancia foco- barrera (m)</t>
  </si>
  <si>
    <t>PARÁMETROS DE DISPERSIÓN</t>
  </si>
  <si>
    <r>
      <t>Tamaño de campo (cm</t>
    </r>
    <r>
      <rPr>
        <vertAlign val="superscript"/>
        <sz val="12"/>
        <rFont val="Times New Roman"/>
        <family val="1"/>
      </rPr>
      <t>2</t>
    </r>
    <r>
      <rPr>
        <sz val="12"/>
        <rFont val="Times New Roman"/>
        <family val="0"/>
      </rPr>
      <t>)</t>
    </r>
  </si>
  <si>
    <t>Factor de dispersión</t>
  </si>
  <si>
    <t>a</t>
  </si>
  <si>
    <t>S</t>
  </si>
  <si>
    <t>Indice</t>
  </si>
  <si>
    <t>KV1</t>
  </si>
  <si>
    <t>KV2</t>
  </si>
  <si>
    <t>A1</t>
  </si>
  <si>
    <t>A2</t>
  </si>
  <si>
    <t>Int.1</t>
  </si>
  <si>
    <t>Int</t>
  </si>
  <si>
    <t>Pb1</t>
  </si>
  <si>
    <t>indice</t>
  </si>
  <si>
    <t>Pb2</t>
  </si>
  <si>
    <t>CDR fuga</t>
  </si>
  <si>
    <t xml:space="preserve">CDR </t>
  </si>
  <si>
    <t>CDR f</t>
  </si>
  <si>
    <t>CDR dispersa</t>
  </si>
  <si>
    <t>siD&gt;F</t>
  </si>
  <si>
    <t>siF&gt;D</t>
  </si>
  <si>
    <r>
      <t>A = (</t>
    </r>
    <r>
      <rPr>
        <sz val="12"/>
        <color indexed="12"/>
        <rFont val="Symbol"/>
        <family val="1"/>
      </rPr>
      <t>G</t>
    </r>
    <r>
      <rPr>
        <sz val="12"/>
        <color indexed="12"/>
        <rFont val="Times New Roman"/>
        <family val="0"/>
      </rPr>
      <t>. W.T.U)/(d</t>
    </r>
    <r>
      <rPr>
        <vertAlign val="superscript"/>
        <sz val="12"/>
        <color indexed="12"/>
        <rFont val="Times New Roman"/>
        <family val="1"/>
      </rPr>
      <t>2</t>
    </r>
    <r>
      <rPr>
        <sz val="12"/>
        <color indexed="12"/>
        <rFont val="Times New Roman"/>
        <family val="0"/>
      </rPr>
      <t>.H</t>
    </r>
    <r>
      <rPr>
        <vertAlign val="subscript"/>
        <sz val="12"/>
        <color indexed="12"/>
        <rFont val="Times New Roman"/>
        <family val="1"/>
      </rPr>
      <t>w</t>
    </r>
    <r>
      <rPr>
        <sz val="12"/>
        <color indexed="12"/>
        <rFont val="Times New Roman"/>
        <family val="0"/>
      </rPr>
      <t>)</t>
    </r>
  </si>
  <si>
    <r>
      <t>A = (</t>
    </r>
    <r>
      <rPr>
        <sz val="12"/>
        <color indexed="12"/>
        <rFont val="Symbol"/>
        <family val="1"/>
      </rPr>
      <t>G</t>
    </r>
    <r>
      <rPr>
        <sz val="12"/>
        <color indexed="12"/>
        <rFont val="Times New Roman"/>
        <family val="0"/>
      </rPr>
      <t>. W.T.U.a.S)/(dp</t>
    </r>
    <r>
      <rPr>
        <vertAlign val="superscript"/>
        <sz val="12"/>
        <color indexed="12"/>
        <rFont val="Times New Roman"/>
        <family val="1"/>
      </rPr>
      <t>2</t>
    </r>
    <r>
      <rPr>
        <sz val="12"/>
        <color indexed="12"/>
        <rFont val="Times New Roman"/>
        <family val="0"/>
      </rPr>
      <t>.ds</t>
    </r>
    <r>
      <rPr>
        <vertAlign val="superscript"/>
        <sz val="12"/>
        <color indexed="12"/>
        <rFont val="Times New Roman"/>
        <family val="1"/>
      </rPr>
      <t>2</t>
    </r>
    <r>
      <rPr>
        <sz val="12"/>
        <color indexed="12"/>
        <rFont val="Times New Roman"/>
        <family val="0"/>
      </rPr>
      <t>.400.H</t>
    </r>
    <r>
      <rPr>
        <vertAlign val="subscript"/>
        <sz val="12"/>
        <color indexed="12"/>
        <rFont val="Times New Roman"/>
        <family val="1"/>
      </rPr>
      <t>w</t>
    </r>
    <r>
      <rPr>
        <sz val="12"/>
        <color indexed="12"/>
        <rFont val="Times New Roman"/>
        <family val="0"/>
      </rPr>
      <t>)</t>
    </r>
  </si>
  <si>
    <r>
      <t>A = (F. W.T.U)/(d</t>
    </r>
    <r>
      <rPr>
        <vertAlign val="superscript"/>
        <sz val="12"/>
        <color indexed="12"/>
        <rFont val="Times New Roman"/>
        <family val="1"/>
      </rPr>
      <t>2</t>
    </r>
    <r>
      <rPr>
        <sz val="12"/>
        <color indexed="12"/>
        <rFont val="Times New Roman"/>
        <family val="1"/>
      </rPr>
      <t>.Q</t>
    </r>
    <r>
      <rPr>
        <vertAlign val="subscript"/>
        <sz val="12"/>
        <color indexed="12"/>
        <rFont val="Times New Roman"/>
        <family val="1"/>
      </rPr>
      <t>h</t>
    </r>
    <r>
      <rPr>
        <sz val="12"/>
        <color indexed="12"/>
        <rFont val="Times New Roman"/>
        <family val="1"/>
      </rPr>
      <t>.H</t>
    </r>
    <r>
      <rPr>
        <vertAlign val="subscript"/>
        <sz val="12"/>
        <color indexed="12"/>
        <rFont val="Times New Roman"/>
        <family val="1"/>
      </rPr>
      <t>w</t>
    </r>
    <r>
      <rPr>
        <sz val="12"/>
        <color indexed="12"/>
        <rFont val="Times New Roman"/>
        <family val="1"/>
      </rPr>
      <t>)</t>
    </r>
  </si>
  <si>
    <t>Institución:</t>
  </si>
  <si>
    <t>Fecha:</t>
  </si>
  <si>
    <t>Sala:</t>
  </si>
  <si>
    <t>Espesor total (mm Pb):</t>
  </si>
  <si>
    <t>Espesor equivalente en otros materiales</t>
  </si>
  <si>
    <r>
      <t>Hormigón baritado de3,2 g/cm</t>
    </r>
    <r>
      <rPr>
        <vertAlign val="superscript"/>
        <sz val="12"/>
        <color indexed="53"/>
        <rFont val="Times New Roman"/>
        <family val="1"/>
      </rPr>
      <t>3</t>
    </r>
    <r>
      <rPr>
        <sz val="12"/>
        <color indexed="53"/>
        <rFont val="Times New Roman"/>
        <family val="1"/>
      </rPr>
      <t xml:space="preserve">  DIN 6812 (cm)</t>
    </r>
  </si>
  <si>
    <r>
      <t>Hormigón  de2,3 g/cm</t>
    </r>
    <r>
      <rPr>
        <vertAlign val="superscript"/>
        <sz val="12"/>
        <color indexed="53"/>
        <rFont val="Times New Roman"/>
        <family val="1"/>
      </rPr>
      <t>3</t>
    </r>
    <r>
      <rPr>
        <sz val="12"/>
        <color indexed="53"/>
        <rFont val="Times New Roman"/>
        <family val="1"/>
      </rPr>
      <t xml:space="preserve">  DIN 6812 (cm)</t>
    </r>
  </si>
  <si>
    <r>
      <t>Ladrillo macizo de 1,8 g/cm</t>
    </r>
    <r>
      <rPr>
        <vertAlign val="superscript"/>
        <sz val="12"/>
        <color indexed="53"/>
        <rFont val="Times New Roman"/>
        <family val="1"/>
      </rPr>
      <t>3</t>
    </r>
    <r>
      <rPr>
        <sz val="12"/>
        <color indexed="53"/>
        <rFont val="Times New Roman"/>
        <family val="1"/>
      </rPr>
      <t xml:space="preserve">  DIN 6812 (cm)</t>
    </r>
  </si>
  <si>
    <t>Libre acceso</t>
  </si>
  <si>
    <t>A(Urgencia)</t>
  </si>
  <si>
    <t>Pared</t>
  </si>
  <si>
    <t>Pasillo</t>
  </si>
  <si>
    <t>HCUZ</t>
  </si>
  <si>
    <t>Pared A de una sala de rayos X dedicada a exploraciones de tórax , que soporta el bucky vertical.</t>
  </si>
  <si>
    <t>Sala espera</t>
  </si>
  <si>
    <t>1(Tórax)</t>
  </si>
  <si>
    <t>1 (Tórax)</t>
  </si>
  <si>
    <t>Secretaría</t>
  </si>
  <si>
    <t>B</t>
  </si>
  <si>
    <r>
      <t>Hormigón baritado de 3,2 g/cm</t>
    </r>
    <r>
      <rPr>
        <vertAlign val="superscript"/>
        <sz val="12"/>
        <color indexed="53"/>
        <rFont val="Times New Roman"/>
        <family val="1"/>
      </rPr>
      <t>3</t>
    </r>
    <r>
      <rPr>
        <sz val="12"/>
        <color indexed="53"/>
        <rFont val="Times New Roman"/>
        <family val="1"/>
      </rPr>
      <t xml:space="preserve">  DIN 6812 (cm)</t>
    </r>
  </si>
  <si>
    <r>
      <t>Hormigón  de 2,3 g/cm</t>
    </r>
    <r>
      <rPr>
        <vertAlign val="superscript"/>
        <sz val="12"/>
        <color indexed="53"/>
        <rFont val="Times New Roman"/>
        <family val="1"/>
      </rPr>
      <t>3</t>
    </r>
    <r>
      <rPr>
        <sz val="12"/>
        <color indexed="53"/>
        <rFont val="Times New Roman"/>
        <family val="1"/>
      </rPr>
      <t xml:space="preserve">  DIN 6812 (cm)</t>
    </r>
  </si>
  <si>
    <t>Pared B de una sala de rayos X dedicada a exploraciones de tórax, sobre la que no incide el haz directo de rayos X.</t>
  </si>
  <si>
    <t>Ejemplo de cálculo del blindaje para  barrera secundaria</t>
  </si>
  <si>
    <t>Ejemplo de cálculo del blindaje para  barrera primaria</t>
  </si>
  <si>
    <t xml:space="preserve">Autores: </t>
  </si>
  <si>
    <t>Pedro Ruiz Manzano y Mª Angeles Rivas  Ballarín</t>
  </si>
  <si>
    <t>Hospital Clínico Universitario "Lozano Blesa"</t>
  </si>
  <si>
    <t>Avda San Juan Bosco 15. 50009-Zaragoza</t>
  </si>
  <si>
    <t>Cálculo de blindajes para salas de radiodiagnóstico</t>
  </si>
  <si>
    <t>Método de cálculo</t>
  </si>
  <si>
    <t>pruizm@salud.aragon.es</t>
  </si>
  <si>
    <t>mrivasb@salud.aragon.es</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</si>
</sst>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000000000"/>
    <numFmt numFmtId="173" formatCode="0.00000000"/>
    <numFmt numFmtId="174" formatCode="0.0000000"/>
    <numFmt numFmtId="175" formatCode="0.000000"/>
    <numFmt numFmtId="176" formatCode="0.00000"/>
    <numFmt numFmtId="177" formatCode="0.0000"/>
    <numFmt numFmtId="178" formatCode="0.000"/>
    <numFmt numFmtId="179" formatCode="0.0"/>
  </numFmts>
  <fonts count="37">
    <font>
      <sz val="12"/>
      <name val="Times New Roman"/>
      <family val="0"/>
    </font>
    <font>
      <sz val="12"/>
      <name val="Symbol"/>
      <family val="1"/>
    </font>
    <font>
      <vertAlign val="superscript"/>
      <sz val="12"/>
      <name val="Times New Roman"/>
      <family val="1"/>
    </font>
    <font>
      <vertAlign val="subscript"/>
      <sz val="12"/>
      <name val="Times New Roman"/>
      <family val="1"/>
    </font>
    <font>
      <sz val="10"/>
      <name val="Times New Roman"/>
      <family val="1"/>
    </font>
    <font>
      <vertAlign val="superscript"/>
      <sz val="10"/>
      <name val="Times New Roman"/>
      <family val="1"/>
    </font>
    <font>
      <b/>
      <sz val="12"/>
      <name val="Times New Roman"/>
      <family val="1"/>
    </font>
    <font>
      <sz val="10"/>
      <color indexed="10"/>
      <name val="Times New Roman"/>
      <family val="1"/>
    </font>
    <font>
      <sz val="12"/>
      <color indexed="12"/>
      <name val="Times New Roman"/>
      <family val="1"/>
    </font>
    <font>
      <b/>
      <sz val="12"/>
      <color indexed="12"/>
      <name val="Times New Roman"/>
      <family val="1"/>
    </font>
    <font>
      <sz val="11"/>
      <color indexed="12"/>
      <name val="Times New Roman"/>
      <family val="1"/>
    </font>
    <font>
      <b/>
      <sz val="12"/>
      <color indexed="57"/>
      <name val="Times New Roman"/>
      <family val="1"/>
    </font>
    <font>
      <sz val="12"/>
      <color indexed="57"/>
      <name val="Times New Roman"/>
      <family val="1"/>
    </font>
    <font>
      <sz val="10"/>
      <color indexed="53"/>
      <name val="Times New Roman"/>
      <family val="1"/>
    </font>
    <font>
      <b/>
      <i/>
      <sz val="12"/>
      <color indexed="57"/>
      <name val="Times New Roman"/>
      <family val="1"/>
    </font>
    <font>
      <b/>
      <sz val="14"/>
      <color indexed="57"/>
      <name val="Times New Roman"/>
      <family val="1"/>
    </font>
    <font>
      <sz val="14"/>
      <name val="Times New Roman"/>
      <family val="1"/>
    </font>
    <font>
      <sz val="12"/>
      <color indexed="12"/>
      <name val="Symbol"/>
      <family val="1"/>
    </font>
    <font>
      <vertAlign val="superscript"/>
      <sz val="12"/>
      <color indexed="12"/>
      <name val="Times New Roman"/>
      <family val="1"/>
    </font>
    <font>
      <vertAlign val="subscript"/>
      <sz val="12"/>
      <color indexed="12"/>
      <name val="Times New Roman"/>
      <family val="1"/>
    </font>
    <font>
      <b/>
      <u val="single"/>
      <sz val="14"/>
      <color indexed="12"/>
      <name val="Times New Roman"/>
      <family val="1"/>
    </font>
    <font>
      <sz val="8"/>
      <name val="Tahoma"/>
      <family val="0"/>
    </font>
    <font>
      <b/>
      <sz val="8"/>
      <name val="Tahoma"/>
      <family val="0"/>
    </font>
    <font>
      <b/>
      <u val="single"/>
      <sz val="12"/>
      <color indexed="53"/>
      <name val="Times New Roman"/>
      <family val="1"/>
    </font>
    <font>
      <sz val="12"/>
      <color indexed="53"/>
      <name val="Times New Roman"/>
      <family val="1"/>
    </font>
    <font>
      <vertAlign val="superscript"/>
      <sz val="12"/>
      <color indexed="53"/>
      <name val="Times New Roman"/>
      <family val="1"/>
    </font>
    <font>
      <sz val="8"/>
      <name val="Symbol"/>
      <family val="1"/>
    </font>
    <font>
      <vertAlign val="superscript"/>
      <sz val="8"/>
      <name val="Tahoma"/>
      <family val="2"/>
    </font>
    <font>
      <sz val="10"/>
      <color indexed="57"/>
      <name val="Times New Roman"/>
      <family val="1"/>
    </font>
    <font>
      <b/>
      <sz val="18"/>
      <color indexed="53"/>
      <name val="Comic Sans MS"/>
      <family val="4"/>
    </font>
    <font>
      <sz val="12"/>
      <color indexed="12"/>
      <name val="Comic Sans MS"/>
      <family val="4"/>
    </font>
    <font>
      <b/>
      <sz val="12"/>
      <color indexed="12"/>
      <name val="Comic Sans MS"/>
      <family val="4"/>
    </font>
    <font>
      <b/>
      <sz val="18"/>
      <color indexed="12"/>
      <name val="Comic Sans MS"/>
      <family val="4"/>
    </font>
    <font>
      <b/>
      <u val="single"/>
      <sz val="16"/>
      <color indexed="12"/>
      <name val="Comic Sans MS"/>
      <family val="4"/>
    </font>
    <font>
      <u val="single"/>
      <sz val="12"/>
      <color indexed="12"/>
      <name val="Times New Roman"/>
      <family val="0"/>
    </font>
    <font>
      <u val="single"/>
      <sz val="12"/>
      <color indexed="36"/>
      <name val="Times New Roman"/>
      <family val="0"/>
    </font>
    <font>
      <b/>
      <sz val="8"/>
      <name val="Times New Roman"/>
      <family val="2"/>
    </font>
  </fonts>
  <fills count="10">
    <fill>
      <patternFill/>
    </fill>
    <fill>
      <patternFill patternType="gray125"/>
    </fill>
    <fill>
      <patternFill patternType="solid">
        <fgColor indexed="41"/>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mediumGray">
        <fgColor indexed="9"/>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Border="1" applyAlignment="1">
      <alignment horizontal="center"/>
    </xf>
    <xf numFmtId="0" fontId="0" fillId="0" borderId="0" xfId="0" applyAlignment="1">
      <alignment/>
    </xf>
    <xf numFmtId="0" fontId="0" fillId="0" borderId="1" xfId="0" applyBorder="1" applyAlignment="1">
      <alignment/>
    </xf>
    <xf numFmtId="2" fontId="0" fillId="0" borderId="1" xfId="0" applyNumberFormat="1" applyBorder="1" applyAlignment="1">
      <alignment/>
    </xf>
    <xf numFmtId="0" fontId="0" fillId="0" borderId="0" xfId="0" applyAlignment="1" applyProtection="1">
      <alignment/>
      <protection hidden="1"/>
    </xf>
    <xf numFmtId="0" fontId="0" fillId="0" borderId="1" xfId="0" applyBorder="1" applyAlignment="1" applyProtection="1">
      <alignment/>
      <protection hidden="1"/>
    </xf>
    <xf numFmtId="0" fontId="6" fillId="0" borderId="1" xfId="0" applyFon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locked="0"/>
    </xf>
    <xf numFmtId="0" fontId="0" fillId="0" borderId="1" xfId="0" applyBorder="1" applyAlignment="1" applyProtection="1">
      <alignment/>
      <protection hidden="1" locked="0"/>
    </xf>
    <xf numFmtId="0" fontId="1" fillId="0" borderId="1" xfId="0" applyFont="1" applyBorder="1" applyAlignment="1" applyProtection="1">
      <alignment/>
      <protection hidden="1" locked="0"/>
    </xf>
    <xf numFmtId="0" fontId="0" fillId="0" borderId="1" xfId="0" applyFont="1" applyBorder="1" applyAlignment="1" applyProtection="1">
      <alignment/>
      <protection hidden="1" locked="0"/>
    </xf>
    <xf numFmtId="179" fontId="0" fillId="0" borderId="0" xfId="0" applyNumberFormat="1" applyAlignment="1" applyProtection="1">
      <alignment/>
      <protection hidden="1"/>
    </xf>
    <xf numFmtId="0" fontId="8" fillId="0" borderId="0" xfId="0" applyFont="1" applyBorder="1" applyAlignment="1">
      <alignment horizontal="center"/>
    </xf>
    <xf numFmtId="0" fontId="0" fillId="0" borderId="0" xfId="0" applyBorder="1" applyAlignment="1">
      <alignment horizontal="left"/>
    </xf>
    <xf numFmtId="0" fontId="0" fillId="2" borderId="2" xfId="0" applyFill="1" applyBorder="1" applyAlignment="1" applyProtection="1">
      <alignment/>
      <protection locked="0"/>
    </xf>
    <xf numFmtId="0" fontId="0" fillId="2" borderId="3" xfId="0" applyFill="1" applyBorder="1" applyAlignment="1" applyProtection="1">
      <alignment/>
      <protection locked="0"/>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1" fillId="0" borderId="0" xfId="0" applyFont="1" applyBorder="1" applyAlignment="1">
      <alignment horizontal="center"/>
    </xf>
    <xf numFmtId="179" fontId="0" fillId="0" borderId="0" xfId="0" applyNumberFormat="1" applyFill="1" applyBorder="1" applyAlignment="1" applyProtection="1">
      <alignment horizontal="center"/>
      <protection hidden="1"/>
    </xf>
    <xf numFmtId="0" fontId="0" fillId="0" borderId="0" xfId="0" applyBorder="1" applyAlignment="1">
      <alignment/>
    </xf>
    <xf numFmtId="0" fontId="12" fillId="0" borderId="0" xfId="0" applyFont="1" applyBorder="1" applyAlignment="1">
      <alignment horizontal="center"/>
    </xf>
    <xf numFmtId="11" fontId="12" fillId="0" borderId="0" xfId="0" applyNumberFormat="1" applyFont="1" applyBorder="1" applyAlignment="1" applyProtection="1">
      <alignment horizontal="center"/>
      <protection hidden="1"/>
    </xf>
    <xf numFmtId="2" fontId="12" fillId="0" borderId="0" xfId="0" applyNumberFormat="1" applyFont="1" applyBorder="1" applyAlignment="1" applyProtection="1">
      <alignment horizontal="center"/>
      <protection hidden="1"/>
    </xf>
    <xf numFmtId="0" fontId="13" fillId="0" borderId="0" xfId="0" applyFont="1" applyFill="1" applyAlignment="1">
      <alignment/>
    </xf>
    <xf numFmtId="2" fontId="15" fillId="4" borderId="0" xfId="0" applyNumberFormat="1" applyFont="1" applyFill="1" applyBorder="1" applyAlignment="1" applyProtection="1">
      <alignment horizontal="center"/>
      <protection hidden="1"/>
    </xf>
    <xf numFmtId="0" fontId="13" fillId="0" borderId="0" xfId="0" applyFont="1" applyBorder="1" applyAlignment="1">
      <alignment/>
    </xf>
    <xf numFmtId="0" fontId="16" fillId="0" borderId="0" xfId="0" applyFont="1" applyAlignment="1">
      <alignment/>
    </xf>
    <xf numFmtId="0" fontId="10" fillId="5" borderId="0" xfId="0" applyFont="1" applyFill="1" applyBorder="1" applyAlignment="1">
      <alignment horizontal="center"/>
    </xf>
    <xf numFmtId="0" fontId="10" fillId="6" borderId="0" xfId="0" applyFont="1" applyFill="1" applyBorder="1" applyAlignment="1">
      <alignment/>
    </xf>
    <xf numFmtId="0" fontId="0" fillId="0" borderId="0" xfId="0" applyFont="1" applyAlignment="1">
      <alignment/>
    </xf>
    <xf numFmtId="0" fontId="0" fillId="0" borderId="0" xfId="0" applyFont="1" applyBorder="1" applyAlignment="1">
      <alignment horizontal="left"/>
    </xf>
    <xf numFmtId="2" fontId="0" fillId="0" borderId="0" xfId="0" applyNumberFormat="1" applyBorder="1" applyAlignment="1" applyProtection="1">
      <alignment horizontal="center"/>
      <protection hidden="1"/>
    </xf>
    <xf numFmtId="179" fontId="24" fillId="0" borderId="0" xfId="0" applyNumberFormat="1" applyFont="1" applyBorder="1" applyAlignment="1" applyProtection="1">
      <alignment horizontal="center"/>
      <protection hidden="1"/>
    </xf>
    <xf numFmtId="0" fontId="0" fillId="3" borderId="2" xfId="0" applyFill="1" applyBorder="1" applyAlignment="1" applyProtection="1">
      <alignment/>
      <protection locked="0"/>
    </xf>
    <xf numFmtId="0" fontId="0" fillId="3" borderId="3" xfId="0" applyFill="1" applyBorder="1" applyAlignment="1" applyProtection="1">
      <alignment/>
      <protection locked="0"/>
    </xf>
    <xf numFmtId="0" fontId="0" fillId="0" borderId="0" xfId="0" applyAlignment="1" applyProtection="1">
      <alignment/>
      <protection/>
    </xf>
    <xf numFmtId="14" fontId="0" fillId="3" borderId="2" xfId="0" applyNumberFormat="1" applyFill="1" applyBorder="1" applyAlignment="1" applyProtection="1">
      <alignment horizontal="left"/>
      <protection locked="0"/>
    </xf>
    <xf numFmtId="0" fontId="0" fillId="0" borderId="0" xfId="0" applyAlignment="1">
      <alignment horizontal="left"/>
    </xf>
    <xf numFmtId="179" fontId="24" fillId="7" borderId="0" xfId="0" applyNumberFormat="1" applyFont="1" applyFill="1" applyBorder="1" applyAlignment="1" applyProtection="1">
      <alignment horizontal="center"/>
      <protection hidden="1"/>
    </xf>
    <xf numFmtId="14" fontId="0" fillId="3" borderId="2" xfId="0" applyNumberFormat="1" applyFill="1" applyBorder="1" applyAlignment="1" applyProtection="1">
      <alignment horizontal="left"/>
      <protection/>
    </xf>
    <xf numFmtId="0" fontId="0" fillId="0" borderId="0" xfId="0" applyAlignment="1" applyProtection="1">
      <alignment horizontal="left"/>
      <protection/>
    </xf>
    <xf numFmtId="0" fontId="0" fillId="3" borderId="0" xfId="0" applyFill="1" applyAlignment="1">
      <alignment/>
    </xf>
    <xf numFmtId="0" fontId="0" fillId="3" borderId="0" xfId="0" applyFill="1" applyAlignment="1">
      <alignment horizontal="center"/>
    </xf>
    <xf numFmtId="0" fontId="0" fillId="3" borderId="2" xfId="0" applyFill="1" applyBorder="1" applyAlignment="1" applyProtection="1">
      <alignment horizontal="center"/>
      <protection/>
    </xf>
    <xf numFmtId="0" fontId="0" fillId="3" borderId="3" xfId="0" applyFill="1" applyBorder="1" applyAlignment="1" applyProtection="1">
      <alignment horizontal="center"/>
      <protection/>
    </xf>
    <xf numFmtId="0" fontId="0" fillId="0" borderId="0" xfId="0" applyBorder="1" applyAlignment="1" applyProtection="1">
      <alignment horizontal="center"/>
      <protection/>
    </xf>
    <xf numFmtId="0" fontId="1" fillId="0" borderId="0" xfId="0" applyFont="1" applyBorder="1" applyAlignment="1" applyProtection="1">
      <alignment horizontal="center"/>
      <protection/>
    </xf>
    <xf numFmtId="0" fontId="0" fillId="3" borderId="2" xfId="0" applyFill="1" applyBorder="1" applyAlignment="1" applyProtection="1">
      <alignment/>
      <protection/>
    </xf>
    <xf numFmtId="0" fontId="0" fillId="3" borderId="3" xfId="0" applyFill="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protection/>
    </xf>
    <xf numFmtId="0" fontId="12" fillId="0" borderId="0" xfId="0" applyFont="1" applyBorder="1" applyAlignment="1" applyProtection="1">
      <alignment horizontal="center"/>
      <protection/>
    </xf>
    <xf numFmtId="0" fontId="29" fillId="0" borderId="0" xfId="0" applyFont="1" applyFill="1" applyBorder="1" applyAlignment="1">
      <alignment horizontal="center"/>
    </xf>
    <xf numFmtId="0" fontId="0" fillId="8" borderId="4" xfId="0" applyFill="1" applyBorder="1" applyAlignment="1">
      <alignment/>
    </xf>
    <xf numFmtId="0" fontId="0" fillId="8" borderId="2" xfId="0" applyFill="1" applyBorder="1" applyAlignment="1">
      <alignment/>
    </xf>
    <xf numFmtId="0" fontId="0" fillId="8" borderId="5" xfId="0" applyFill="1" applyBorder="1" applyAlignment="1">
      <alignment/>
    </xf>
    <xf numFmtId="0" fontId="0" fillId="8" borderId="6" xfId="0" applyFill="1" applyBorder="1" applyAlignment="1">
      <alignment/>
    </xf>
    <xf numFmtId="0" fontId="0" fillId="8" borderId="7" xfId="0" applyFill="1" applyBorder="1" applyAlignment="1">
      <alignment/>
    </xf>
    <xf numFmtId="0" fontId="0" fillId="8" borderId="8" xfId="0" applyFill="1" applyBorder="1" applyAlignment="1">
      <alignment/>
    </xf>
    <xf numFmtId="0" fontId="30" fillId="8" borderId="9" xfId="0" applyFont="1" applyFill="1" applyBorder="1" applyAlignment="1">
      <alignment/>
    </xf>
    <xf numFmtId="0" fontId="31" fillId="8" borderId="0" xfId="0" applyFont="1" applyFill="1" applyBorder="1" applyAlignment="1">
      <alignment/>
    </xf>
    <xf numFmtId="0" fontId="9" fillId="8" borderId="10" xfId="0" applyFont="1" applyFill="1" applyBorder="1" applyAlignment="1">
      <alignment/>
    </xf>
    <xf numFmtId="0" fontId="30" fillId="8" borderId="0" xfId="0" applyFont="1" applyFill="1" applyBorder="1" applyAlignment="1">
      <alignment/>
    </xf>
    <xf numFmtId="0" fontId="8" fillId="8" borderId="10" xfId="0" applyFont="1" applyFill="1" applyBorder="1" applyAlignment="1">
      <alignment/>
    </xf>
    <xf numFmtId="0" fontId="8" fillId="0" borderId="0" xfId="0" applyFont="1" applyAlignment="1">
      <alignment/>
    </xf>
    <xf numFmtId="0" fontId="0" fillId="9" borderId="0" xfId="0" applyFill="1" applyBorder="1" applyAlignment="1">
      <alignment horizontal="center"/>
    </xf>
    <xf numFmtId="0" fontId="14" fillId="0" borderId="0" xfId="0" applyFont="1" applyBorder="1" applyAlignment="1" applyProtection="1">
      <alignment horizontal="left"/>
      <protection/>
    </xf>
    <xf numFmtId="0" fontId="11" fillId="0" borderId="0" xfId="0" applyFont="1" applyBorder="1" applyAlignment="1" applyProtection="1">
      <alignment horizontal="left"/>
      <protection/>
    </xf>
    <xf numFmtId="0" fontId="15" fillId="0" borderId="0" xfId="0" applyFont="1" applyBorder="1" applyAlignment="1" applyProtection="1">
      <alignment horizontal="left"/>
      <protection/>
    </xf>
    <xf numFmtId="2" fontId="15" fillId="4" borderId="0" xfId="0" applyNumberFormat="1" applyFont="1" applyFill="1" applyBorder="1" applyAlignment="1" applyProtection="1">
      <alignment horizontal="center"/>
      <protection hidden="1"/>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7" fillId="0" borderId="0" xfId="0" applyFont="1" applyAlignment="1">
      <alignment horizontal="left" wrapText="1"/>
    </xf>
    <xf numFmtId="0" fontId="8" fillId="3" borderId="0" xfId="0" applyFont="1" applyFill="1" applyBorder="1" applyAlignment="1">
      <alignment horizontal="left"/>
    </xf>
    <xf numFmtId="0" fontId="32" fillId="8" borderId="0" xfId="0" applyFont="1" applyFill="1" applyBorder="1" applyAlignment="1">
      <alignment horizontal="center"/>
    </xf>
    <xf numFmtId="0" fontId="33" fillId="0" borderId="0" xfId="0" applyFont="1" applyAlignment="1">
      <alignment horizontal="center"/>
    </xf>
    <xf numFmtId="0" fontId="8" fillId="2" borderId="0" xfId="0" applyFont="1" applyFill="1" applyBorder="1" applyAlignment="1">
      <alignment/>
    </xf>
    <xf numFmtId="0" fontId="8" fillId="3" borderId="0" xfId="0" applyFont="1" applyFill="1" applyBorder="1" applyAlignment="1">
      <alignment/>
    </xf>
    <xf numFmtId="0" fontId="20" fillId="0" borderId="0" xfId="0" applyFont="1" applyAlignment="1">
      <alignment horizontal="center"/>
    </xf>
    <xf numFmtId="0" fontId="14" fillId="0" borderId="0" xfId="0" applyFont="1" applyBorder="1" applyAlignment="1">
      <alignment horizontal="center"/>
    </xf>
    <xf numFmtId="0" fontId="23" fillId="0" borderId="0" xfId="0" applyFont="1" applyBorder="1" applyAlignment="1">
      <alignment horizontal="left"/>
    </xf>
    <xf numFmtId="0" fontId="24" fillId="0" borderId="0" xfId="0" applyFont="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11"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pplyProtection="1">
      <alignment horizontal="center"/>
      <protection/>
    </xf>
    <xf numFmtId="0" fontId="0" fillId="3" borderId="2" xfId="0" applyFill="1" applyBorder="1" applyAlignment="1" applyProtection="1">
      <alignment horizontal="left"/>
      <protection/>
    </xf>
    <xf numFmtId="0" fontId="0" fillId="3" borderId="3" xfId="0" applyFill="1" applyBorder="1" applyAlignment="1" applyProtection="1">
      <alignment horizontal="left"/>
      <protection/>
    </xf>
    <xf numFmtId="0" fontId="0" fillId="0" borderId="0" xfId="0" applyBorder="1" applyAlignment="1" applyProtection="1">
      <alignment horizontal="left"/>
      <protection/>
    </xf>
    <xf numFmtId="0" fontId="0" fillId="9" borderId="0" xfId="0" applyFill="1" applyBorder="1" applyAlignment="1" applyProtection="1">
      <alignment horizontal="center"/>
      <protection/>
    </xf>
    <xf numFmtId="0" fontId="8" fillId="0" borderId="0" xfId="0" applyFont="1" applyBorder="1" applyAlignment="1" applyProtection="1">
      <alignment horizontal="center"/>
      <protection/>
    </xf>
    <xf numFmtId="0" fontId="0" fillId="3" borderId="2" xfId="0" applyFill="1" applyBorder="1" applyAlignment="1" applyProtection="1">
      <alignment horizontal="center"/>
      <protection/>
    </xf>
    <xf numFmtId="0" fontId="0" fillId="0" borderId="0" xfId="0" applyFont="1" applyBorder="1" applyAlignment="1">
      <alignment horizontal="left"/>
    </xf>
    <xf numFmtId="0" fontId="0" fillId="0" borderId="0" xfId="0" applyFill="1" applyBorder="1" applyAlignment="1" applyProtection="1">
      <alignment horizontal="center"/>
      <protection/>
    </xf>
    <xf numFmtId="0" fontId="0" fillId="3" borderId="3" xfId="0" applyFill="1" applyBorder="1" applyAlignment="1" applyProtection="1">
      <alignment horizontal="center"/>
      <protection/>
    </xf>
    <xf numFmtId="0" fontId="23" fillId="0" borderId="0" xfId="0" applyFont="1" applyBorder="1" applyAlignment="1" applyProtection="1">
      <alignment horizontal="left"/>
      <protection/>
    </xf>
    <xf numFmtId="0" fontId="24" fillId="0" borderId="0" xfId="0" applyFont="1" applyBorder="1" applyAlignment="1" applyProtection="1">
      <alignment horizontal="left"/>
      <protection/>
    </xf>
    <xf numFmtId="179" fontId="24" fillId="7" borderId="0" xfId="0" applyNumberFormat="1" applyFont="1" applyFill="1" applyBorder="1" applyAlignment="1" applyProtection="1">
      <alignment horizontal="center"/>
      <protection hidden="1"/>
    </xf>
    <xf numFmtId="0" fontId="24" fillId="7" borderId="0" xfId="0" applyFont="1"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2" xfId="0" applyBorder="1" applyAlignment="1" applyProtection="1">
      <alignment horizontal="center"/>
      <protection hidden="1"/>
    </xf>
    <xf numFmtId="0" fontId="9" fillId="0" borderId="0" xfId="0" applyFont="1" applyBorder="1" applyAlignment="1">
      <alignment horizontal="right"/>
    </xf>
    <xf numFmtId="0" fontId="9" fillId="0" borderId="0" xfId="0" applyFont="1" applyBorder="1" applyAlignment="1">
      <alignment horizontal="center"/>
    </xf>
    <xf numFmtId="0" fontId="15" fillId="0" borderId="0" xfId="0" applyFont="1" applyBorder="1" applyAlignment="1">
      <alignment horizontal="center"/>
    </xf>
    <xf numFmtId="179" fontId="24" fillId="0" borderId="0" xfId="0" applyNumberFormat="1" applyFont="1" applyBorder="1" applyAlignment="1" applyProtection="1">
      <alignment horizontal="center"/>
      <protection hidden="1"/>
    </xf>
    <xf numFmtId="0" fontId="24" fillId="0" borderId="0" xfId="0" applyFont="1" applyBorder="1" applyAlignment="1" applyProtection="1">
      <alignment horizontal="center"/>
      <protection hidden="1"/>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4" fillId="8" borderId="0" xfId="15" applyFill="1" applyBorder="1" applyAlignment="1">
      <alignment/>
    </xf>
    <xf numFmtId="0" fontId="34" fillId="8" borderId="2" xfId="15" applyFill="1" applyBorder="1" applyAlignment="1">
      <alignment/>
    </xf>
    <xf numFmtId="0" fontId="30" fillId="8" borderId="2" xfId="0"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xdr:row>
      <xdr:rowOff>76200</xdr:rowOff>
    </xdr:from>
    <xdr:to>
      <xdr:col>4</xdr:col>
      <xdr:colOff>638175</xdr:colOff>
      <xdr:row>14</xdr:row>
      <xdr:rowOff>57150</xdr:rowOff>
    </xdr:to>
    <xdr:grpSp>
      <xdr:nvGrpSpPr>
        <xdr:cNvPr id="1" name="Group 26"/>
        <xdr:cNvGrpSpPr>
          <a:grpSpLocks/>
        </xdr:cNvGrpSpPr>
      </xdr:nvGrpSpPr>
      <xdr:grpSpPr>
        <a:xfrm>
          <a:off x="485775" y="914400"/>
          <a:ext cx="3086100" cy="1981200"/>
          <a:chOff x="46" y="137"/>
          <a:chExt cx="324" cy="208"/>
        </a:xfrm>
        <a:solidFill>
          <a:srgbClr val="FFFFFF"/>
        </a:solidFill>
      </xdr:grpSpPr>
      <xdr:sp>
        <xdr:nvSpPr>
          <xdr:cNvPr id="2" name="Rectangle 1"/>
          <xdr:cNvSpPr>
            <a:spLocks/>
          </xdr:cNvSpPr>
        </xdr:nvSpPr>
        <xdr:spPr>
          <a:xfrm>
            <a:off x="46" y="137"/>
            <a:ext cx="240" cy="1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3" name="Group 7"/>
          <xdr:cNvGrpSpPr>
            <a:grpSpLocks/>
          </xdr:cNvGrpSpPr>
        </xdr:nvGrpSpPr>
        <xdr:grpSpPr>
          <a:xfrm>
            <a:off x="146" y="193"/>
            <a:ext cx="133" cy="45"/>
            <a:chOff x="146" y="168"/>
            <a:chExt cx="133" cy="45"/>
          </a:xfrm>
          <a:solidFill>
            <a:srgbClr val="FFFFFF"/>
          </a:solidFill>
        </xdr:grpSpPr>
        <xdr:sp>
          <xdr:nvSpPr>
            <xdr:cNvPr id="4" name="AutoShape 2"/>
            <xdr:cNvSpPr>
              <a:spLocks/>
            </xdr:cNvSpPr>
          </xdr:nvSpPr>
          <xdr:spPr>
            <a:xfrm>
              <a:off x="146" y="168"/>
              <a:ext cx="16" cy="40"/>
            </a:xfrm>
            <a:prstGeom prst="can">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 name="Line 3"/>
            <xdr:cNvSpPr>
              <a:spLocks/>
            </xdr:cNvSpPr>
          </xdr:nvSpPr>
          <xdr:spPr>
            <a:xfrm flipV="1">
              <a:off x="163" y="175"/>
              <a:ext cx="107"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4"/>
            <xdr:cNvSpPr>
              <a:spLocks/>
            </xdr:cNvSpPr>
          </xdr:nvSpPr>
          <xdr:spPr>
            <a:xfrm flipH="1" flipV="1">
              <a:off x="162" y="190"/>
              <a:ext cx="107"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Rectangle 6"/>
            <xdr:cNvSpPr>
              <a:spLocks/>
            </xdr:cNvSpPr>
          </xdr:nvSpPr>
          <xdr:spPr>
            <a:xfrm>
              <a:off x="271" y="169"/>
              <a:ext cx="8" cy="44"/>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8" name="TextBox 8"/>
          <xdr:cNvSpPr txBox="1">
            <a:spLocks noChangeArrowheads="1"/>
          </xdr:cNvSpPr>
        </xdr:nvSpPr>
        <xdr:spPr>
          <a:xfrm>
            <a:off x="292" y="206"/>
            <a:ext cx="78" cy="20"/>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Sala espera</a:t>
            </a:r>
          </a:p>
        </xdr:txBody>
      </xdr:sp>
      <xdr:sp>
        <xdr:nvSpPr>
          <xdr:cNvPr id="9" name="Line 13"/>
          <xdr:cNvSpPr>
            <a:spLocks/>
          </xdr:cNvSpPr>
        </xdr:nvSpPr>
        <xdr:spPr>
          <a:xfrm>
            <a:off x="155" y="188"/>
            <a:ext cx="13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10" name="TextBox 14"/>
          <xdr:cNvSpPr txBox="1">
            <a:spLocks noChangeArrowheads="1"/>
          </xdr:cNvSpPr>
        </xdr:nvSpPr>
        <xdr:spPr>
          <a:xfrm>
            <a:off x="208" y="178"/>
            <a:ext cx="36" cy="23"/>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2 m</a:t>
            </a:r>
          </a:p>
        </xdr:txBody>
      </xdr:sp>
      <xdr:sp>
        <xdr:nvSpPr>
          <xdr:cNvPr id="11" name="TextBox 18"/>
          <xdr:cNvSpPr txBox="1">
            <a:spLocks noChangeArrowheads="1"/>
          </xdr:cNvSpPr>
        </xdr:nvSpPr>
        <xdr:spPr>
          <a:xfrm>
            <a:off x="257" y="159"/>
            <a:ext cx="22" cy="21"/>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A</a:t>
            </a:r>
          </a:p>
        </xdr:txBody>
      </xdr:sp>
      <xdr:sp>
        <xdr:nvSpPr>
          <xdr:cNvPr id="12" name="TextBox 19"/>
          <xdr:cNvSpPr txBox="1">
            <a:spLocks noChangeArrowheads="1"/>
          </xdr:cNvSpPr>
        </xdr:nvSpPr>
        <xdr:spPr>
          <a:xfrm>
            <a:off x="167" y="143"/>
            <a:ext cx="22" cy="21"/>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B</a:t>
            </a:r>
          </a:p>
        </xdr:txBody>
      </xdr:sp>
      <xdr:sp>
        <xdr:nvSpPr>
          <xdr:cNvPr id="13" name="TextBox 20"/>
          <xdr:cNvSpPr txBox="1">
            <a:spLocks noChangeArrowheads="1"/>
          </xdr:cNvSpPr>
        </xdr:nvSpPr>
        <xdr:spPr>
          <a:xfrm>
            <a:off x="153" y="323"/>
            <a:ext cx="82" cy="22"/>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Secretaría</a:t>
            </a:r>
          </a:p>
        </xdr:txBody>
      </xdr:sp>
      <xdr:sp>
        <xdr:nvSpPr>
          <xdr:cNvPr id="14" name="Oval 21"/>
          <xdr:cNvSpPr>
            <a:spLocks/>
          </xdr:cNvSpPr>
        </xdr:nvSpPr>
        <xdr:spPr>
          <a:xfrm>
            <a:off x="253" y="191"/>
            <a:ext cx="14" cy="54"/>
          </a:xfrm>
          <a:prstGeom prst="ellipse">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5" name="Oval 22"/>
          <xdr:cNvSpPr>
            <a:spLocks/>
          </xdr:cNvSpPr>
        </xdr:nvSpPr>
        <xdr:spPr>
          <a:xfrm>
            <a:off x="256" y="212"/>
            <a:ext cx="12" cy="12"/>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16" name="Group 25"/>
          <xdr:cNvGrpSpPr>
            <a:grpSpLocks/>
          </xdr:cNvGrpSpPr>
        </xdr:nvGrpSpPr>
        <xdr:grpSpPr>
          <a:xfrm>
            <a:off x="187" y="243"/>
            <a:ext cx="61" cy="57"/>
            <a:chOff x="197" y="241"/>
            <a:chExt cx="61" cy="57"/>
          </a:xfrm>
          <a:solidFill>
            <a:srgbClr val="FFFFFF"/>
          </a:solidFill>
        </xdr:grpSpPr>
        <xdr:sp>
          <xdr:nvSpPr>
            <xdr:cNvPr id="17" name="TextBox 23"/>
            <xdr:cNvSpPr txBox="1">
              <a:spLocks noChangeArrowheads="1"/>
            </xdr:cNvSpPr>
          </xdr:nvSpPr>
          <xdr:spPr>
            <a:xfrm>
              <a:off x="197" y="267"/>
              <a:ext cx="61" cy="31"/>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Paciente</a:t>
              </a:r>
            </a:p>
          </xdr:txBody>
        </xdr:sp>
        <xdr:sp>
          <xdr:nvSpPr>
            <xdr:cNvPr id="18" name="Line 24"/>
            <xdr:cNvSpPr>
              <a:spLocks/>
            </xdr:cNvSpPr>
          </xdr:nvSpPr>
          <xdr:spPr>
            <a:xfrm flipV="1">
              <a:off x="229" y="241"/>
              <a:ext cx="25" cy="3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95250</xdr:rowOff>
    </xdr:from>
    <xdr:to>
      <xdr:col>4</xdr:col>
      <xdr:colOff>590550</xdr:colOff>
      <xdr:row>14</xdr:row>
      <xdr:rowOff>190500</xdr:rowOff>
    </xdr:to>
    <xdr:grpSp>
      <xdr:nvGrpSpPr>
        <xdr:cNvPr id="1" name="Group 39"/>
        <xdr:cNvGrpSpPr>
          <a:grpSpLocks/>
        </xdr:cNvGrpSpPr>
      </xdr:nvGrpSpPr>
      <xdr:grpSpPr>
        <a:xfrm>
          <a:off x="285750" y="933450"/>
          <a:ext cx="2886075" cy="2095500"/>
          <a:chOff x="46" y="98"/>
          <a:chExt cx="324" cy="220"/>
        </a:xfrm>
        <a:solidFill>
          <a:srgbClr val="FFFFFF"/>
        </a:solidFill>
      </xdr:grpSpPr>
      <xdr:sp>
        <xdr:nvSpPr>
          <xdr:cNvPr id="2" name="TextBox 19"/>
          <xdr:cNvSpPr txBox="1">
            <a:spLocks noChangeArrowheads="1"/>
          </xdr:cNvSpPr>
        </xdr:nvSpPr>
        <xdr:spPr>
          <a:xfrm>
            <a:off x="130" y="294"/>
            <a:ext cx="82" cy="24"/>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Secretaría</a:t>
            </a:r>
          </a:p>
        </xdr:txBody>
      </xdr:sp>
      <xdr:grpSp>
        <xdr:nvGrpSpPr>
          <xdr:cNvPr id="3" name="Group 36"/>
          <xdr:cNvGrpSpPr>
            <a:grpSpLocks/>
          </xdr:cNvGrpSpPr>
        </xdr:nvGrpSpPr>
        <xdr:grpSpPr>
          <a:xfrm>
            <a:off x="46" y="98"/>
            <a:ext cx="324" cy="194"/>
            <a:chOff x="46" y="98"/>
            <a:chExt cx="324" cy="194"/>
          </a:xfrm>
          <a:solidFill>
            <a:srgbClr val="FFFFFF"/>
          </a:solidFill>
        </xdr:grpSpPr>
        <xdr:sp>
          <xdr:nvSpPr>
            <xdr:cNvPr id="4" name="Rectangle 8"/>
            <xdr:cNvSpPr>
              <a:spLocks/>
            </xdr:cNvSpPr>
          </xdr:nvSpPr>
          <xdr:spPr>
            <a:xfrm>
              <a:off x="46" y="98"/>
              <a:ext cx="240" cy="19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 name="AutoShape 10"/>
            <xdr:cNvSpPr>
              <a:spLocks/>
            </xdr:cNvSpPr>
          </xdr:nvSpPr>
          <xdr:spPr>
            <a:xfrm>
              <a:off x="146" y="158"/>
              <a:ext cx="16" cy="44"/>
            </a:xfrm>
            <a:prstGeom prst="can">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1"/>
            <xdr:cNvSpPr>
              <a:spLocks/>
            </xdr:cNvSpPr>
          </xdr:nvSpPr>
          <xdr:spPr>
            <a:xfrm flipV="1">
              <a:off x="163" y="166"/>
              <a:ext cx="107" cy="17"/>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12"/>
            <xdr:cNvSpPr>
              <a:spLocks/>
            </xdr:cNvSpPr>
          </xdr:nvSpPr>
          <xdr:spPr>
            <a:xfrm flipH="1" flipV="1">
              <a:off x="162" y="182"/>
              <a:ext cx="107" cy="17"/>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8" name="Rectangle 13"/>
            <xdr:cNvSpPr>
              <a:spLocks/>
            </xdr:cNvSpPr>
          </xdr:nvSpPr>
          <xdr:spPr>
            <a:xfrm>
              <a:off x="271" y="159"/>
              <a:ext cx="8" cy="48"/>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9" name="TextBox 14"/>
            <xdr:cNvSpPr txBox="1">
              <a:spLocks noChangeArrowheads="1"/>
            </xdr:cNvSpPr>
          </xdr:nvSpPr>
          <xdr:spPr>
            <a:xfrm>
              <a:off x="292" y="172"/>
              <a:ext cx="78" cy="22"/>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Sala espera</a:t>
              </a:r>
            </a:p>
          </xdr:txBody>
        </xdr:sp>
        <xdr:sp>
          <xdr:nvSpPr>
            <xdr:cNvPr id="10" name="Line 15"/>
            <xdr:cNvSpPr>
              <a:spLocks/>
            </xdr:cNvSpPr>
          </xdr:nvSpPr>
          <xdr:spPr>
            <a:xfrm>
              <a:off x="155" y="152"/>
              <a:ext cx="130" cy="0"/>
            </a:xfrm>
            <a:prstGeom prst="line">
              <a:avLst/>
            </a:prstGeom>
            <a:noFill/>
            <a:ln w="9525" cmpd="sng">
              <a:solidFill>
                <a:srgbClr val="339966"/>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11" name="TextBox 16"/>
            <xdr:cNvSpPr txBox="1">
              <a:spLocks noChangeArrowheads="1"/>
            </xdr:cNvSpPr>
          </xdr:nvSpPr>
          <xdr:spPr>
            <a:xfrm>
              <a:off x="208" y="141"/>
              <a:ext cx="36" cy="25"/>
            </a:xfrm>
            <a:prstGeom prst="rect">
              <a:avLst/>
            </a:prstGeom>
            <a:solidFill>
              <a:srgbClr val="FFFFFF"/>
            </a:solidFill>
            <a:ln w="9525" cmpd="sng">
              <a:noFill/>
            </a:ln>
          </xdr:spPr>
          <xdr:txBody>
            <a:bodyPr vertOverflow="clip" wrap="square"/>
            <a:p>
              <a:pPr algn="l">
                <a:defRPr/>
              </a:pPr>
              <a:r>
                <a:rPr lang="en-US" cap="none" sz="1000" b="0" i="0" u="none" baseline="0">
                  <a:solidFill>
                    <a:srgbClr val="339966"/>
                  </a:solidFill>
                  <a:latin typeface="Times New Roman"/>
                  <a:ea typeface="Times New Roman"/>
                  <a:cs typeface="Times New Roman"/>
                </a:rPr>
                <a:t>2 m</a:t>
              </a:r>
            </a:p>
          </xdr:txBody>
        </xdr:sp>
        <xdr:sp>
          <xdr:nvSpPr>
            <xdr:cNvPr id="12" name="TextBox 17"/>
            <xdr:cNvSpPr txBox="1">
              <a:spLocks noChangeArrowheads="1"/>
            </xdr:cNvSpPr>
          </xdr:nvSpPr>
          <xdr:spPr>
            <a:xfrm>
              <a:off x="257" y="120"/>
              <a:ext cx="22" cy="23"/>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A</a:t>
              </a:r>
            </a:p>
          </xdr:txBody>
        </xdr:sp>
        <xdr:sp>
          <xdr:nvSpPr>
            <xdr:cNvPr id="13" name="TextBox 18"/>
            <xdr:cNvSpPr txBox="1">
              <a:spLocks noChangeArrowheads="1"/>
            </xdr:cNvSpPr>
          </xdr:nvSpPr>
          <xdr:spPr>
            <a:xfrm>
              <a:off x="159" y="262"/>
              <a:ext cx="22" cy="23"/>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B</a:t>
              </a:r>
            </a:p>
          </xdr:txBody>
        </xdr:sp>
        <xdr:sp>
          <xdr:nvSpPr>
            <xdr:cNvPr id="14" name="Oval 20"/>
            <xdr:cNvSpPr>
              <a:spLocks/>
            </xdr:cNvSpPr>
          </xdr:nvSpPr>
          <xdr:spPr>
            <a:xfrm>
              <a:off x="253" y="155"/>
              <a:ext cx="14" cy="60"/>
            </a:xfrm>
            <a:prstGeom prst="ellipse">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5" name="Oval 21"/>
            <xdr:cNvSpPr>
              <a:spLocks/>
            </xdr:cNvSpPr>
          </xdr:nvSpPr>
          <xdr:spPr>
            <a:xfrm>
              <a:off x="256" y="179"/>
              <a:ext cx="12" cy="1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16" name="Group 22"/>
            <xdr:cNvGrpSpPr>
              <a:grpSpLocks/>
            </xdr:cNvGrpSpPr>
          </xdr:nvGrpSpPr>
          <xdr:grpSpPr>
            <a:xfrm>
              <a:off x="187" y="213"/>
              <a:ext cx="61" cy="62"/>
              <a:chOff x="197" y="241"/>
              <a:chExt cx="61" cy="57"/>
            </a:xfrm>
            <a:solidFill>
              <a:srgbClr val="FFFFFF"/>
            </a:solidFill>
          </xdr:grpSpPr>
          <xdr:sp>
            <xdr:nvSpPr>
              <xdr:cNvPr id="17" name="TextBox 23"/>
              <xdr:cNvSpPr txBox="1">
                <a:spLocks noChangeArrowheads="1"/>
              </xdr:cNvSpPr>
            </xdr:nvSpPr>
            <xdr:spPr>
              <a:xfrm>
                <a:off x="197" y="267"/>
                <a:ext cx="61" cy="31"/>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Paciente</a:t>
                </a:r>
              </a:p>
            </xdr:txBody>
          </xdr:sp>
          <xdr:sp>
            <xdr:nvSpPr>
              <xdr:cNvPr id="18" name="Line 24"/>
              <xdr:cNvSpPr>
                <a:spLocks/>
              </xdr:cNvSpPr>
            </xdr:nvSpPr>
            <xdr:spPr>
              <a:xfrm flipV="1">
                <a:off x="229" y="241"/>
                <a:ext cx="25" cy="3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9" name="Line 30"/>
            <xdr:cNvSpPr>
              <a:spLocks/>
            </xdr:cNvSpPr>
          </xdr:nvSpPr>
          <xdr:spPr>
            <a:xfrm flipH="1">
              <a:off x="157" y="185"/>
              <a:ext cx="0" cy="107"/>
            </a:xfrm>
            <a:prstGeom prst="line">
              <a:avLst/>
            </a:prstGeom>
            <a:noFill/>
            <a:ln w="9525" cmpd="sng">
              <a:solidFill>
                <a:srgbClr val="339966"/>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0" name="TextBox 31"/>
            <xdr:cNvSpPr txBox="1">
              <a:spLocks noChangeArrowheads="1"/>
            </xdr:cNvSpPr>
          </xdr:nvSpPr>
          <xdr:spPr>
            <a:xfrm>
              <a:off x="147" y="228"/>
              <a:ext cx="44" cy="21"/>
            </a:xfrm>
            <a:prstGeom prst="rect">
              <a:avLst/>
            </a:prstGeom>
            <a:solidFill>
              <a:srgbClr val="FFFFFF"/>
            </a:solidFill>
            <a:ln w="9525" cmpd="sng">
              <a:noFill/>
            </a:ln>
          </xdr:spPr>
          <xdr:txBody>
            <a:bodyPr vertOverflow="clip" wrap="square"/>
            <a:p>
              <a:pPr algn="l">
                <a:defRPr/>
              </a:pPr>
              <a:r>
                <a:rPr lang="en-US" cap="none" sz="1000" b="0" i="0" u="none" baseline="0">
                  <a:solidFill>
                    <a:srgbClr val="339966"/>
                  </a:solidFill>
                  <a:latin typeface="Times New Roman"/>
                  <a:ea typeface="Times New Roman"/>
                  <a:cs typeface="Times New Roman"/>
                </a:rPr>
                <a:t>1,7 m</a:t>
              </a:r>
            </a:p>
          </xdr:txBody>
        </xdr:sp>
        <xdr:sp>
          <xdr:nvSpPr>
            <xdr:cNvPr id="21" name="Line 34"/>
            <xdr:cNvSpPr>
              <a:spLocks/>
            </xdr:cNvSpPr>
          </xdr:nvSpPr>
          <xdr:spPr>
            <a:xfrm flipV="1">
              <a:off x="162" y="183"/>
              <a:ext cx="90" cy="0"/>
            </a:xfrm>
            <a:prstGeom prst="line">
              <a:avLst/>
            </a:prstGeom>
            <a:noFill/>
            <a:ln w="9525" cmpd="sng">
              <a:solidFill>
                <a:srgbClr val="339966"/>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2" name="TextBox 35"/>
            <xdr:cNvSpPr txBox="1">
              <a:spLocks noChangeArrowheads="1"/>
            </xdr:cNvSpPr>
          </xdr:nvSpPr>
          <xdr:spPr>
            <a:xfrm>
              <a:off x="199" y="176"/>
              <a:ext cx="36" cy="25"/>
            </a:xfrm>
            <a:prstGeom prst="rect">
              <a:avLst/>
            </a:prstGeom>
            <a:solidFill>
              <a:srgbClr val="FFFFFF"/>
            </a:solidFill>
            <a:ln w="9525" cmpd="sng">
              <a:noFill/>
            </a:ln>
          </xdr:spPr>
          <xdr:txBody>
            <a:bodyPr vertOverflow="clip" wrap="square"/>
            <a:p>
              <a:pPr algn="l">
                <a:defRPr/>
              </a:pPr>
              <a:r>
                <a:rPr lang="en-US" cap="none" sz="1000" b="0" i="0" u="none" baseline="0">
                  <a:solidFill>
                    <a:srgbClr val="339966"/>
                  </a:solidFill>
                  <a:latin typeface="Times New Roman"/>
                  <a:ea typeface="Times New Roman"/>
                  <a:cs typeface="Times New Roman"/>
                </a:rPr>
                <a:t>1,6 m</a:t>
              </a:r>
            </a:p>
          </xdr:txBody>
        </xdr:sp>
      </xdr:grpSp>
      <xdr:sp>
        <xdr:nvSpPr>
          <xdr:cNvPr id="23" name="Line 37"/>
          <xdr:cNvSpPr>
            <a:spLocks/>
          </xdr:cNvSpPr>
        </xdr:nvSpPr>
        <xdr:spPr>
          <a:xfrm>
            <a:off x="252" y="184"/>
            <a:ext cx="0" cy="109"/>
          </a:xfrm>
          <a:prstGeom prst="line">
            <a:avLst/>
          </a:prstGeom>
          <a:noFill/>
          <a:ln w="9525" cmpd="sng">
            <a:solidFill>
              <a:srgbClr val="339966"/>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4" name="TextBox 38"/>
          <xdr:cNvSpPr txBox="1">
            <a:spLocks noChangeArrowheads="1"/>
          </xdr:cNvSpPr>
        </xdr:nvSpPr>
        <xdr:spPr>
          <a:xfrm>
            <a:off x="239" y="231"/>
            <a:ext cx="40" cy="19"/>
          </a:xfrm>
          <a:prstGeom prst="rect">
            <a:avLst/>
          </a:prstGeom>
          <a:solidFill>
            <a:srgbClr val="FFFFFF"/>
          </a:solidFill>
          <a:ln w="9525" cmpd="sng">
            <a:noFill/>
          </a:ln>
        </xdr:spPr>
        <xdr:txBody>
          <a:bodyPr vertOverflow="clip" wrap="square"/>
          <a:p>
            <a:pPr algn="l">
              <a:defRPr/>
            </a:pPr>
            <a:r>
              <a:rPr lang="en-US" cap="none" sz="1000" b="0" i="0" u="none" baseline="0">
                <a:solidFill>
                  <a:srgbClr val="339966"/>
                </a:solidFill>
                <a:latin typeface="Times New Roman"/>
                <a:ea typeface="Times New Roman"/>
                <a:cs typeface="Times New Roman"/>
              </a:rPr>
              <a:t>1,7 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rivasb@salud.aragon.es" TargetMode="External" /><Relationship Id="rId2" Type="http://schemas.openxmlformats.org/officeDocument/2006/relationships/hyperlink" Target="mailto:pruizm@salud.aragon.e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2"/>
  <dimension ref="A2:I37"/>
  <sheetViews>
    <sheetView showGridLines="0" showRowColHeaders="0" tabSelected="1" zoomScaleSheetLayoutView="100" workbookViewId="0" topLeftCell="A1">
      <selection activeCell="H13" sqref="H13"/>
    </sheetView>
  </sheetViews>
  <sheetFormatPr defaultColWidth="11.00390625" defaultRowHeight="15.75"/>
  <cols>
    <col min="1" max="1" width="6.625" style="0" customWidth="1"/>
    <col min="4" max="5" width="12.625" style="0" customWidth="1"/>
    <col min="6" max="6" width="5.625" style="0" customWidth="1"/>
    <col min="8" max="8" width="5.625" style="0" customWidth="1"/>
  </cols>
  <sheetData>
    <row r="1" ht="17.25" customHeight="1"/>
    <row r="2" spans="1:9" s="4" customFormat="1" ht="28.5" customHeight="1">
      <c r="A2" s="3"/>
      <c r="B2" s="81" t="s">
        <v>132</v>
      </c>
      <c r="C2" s="81"/>
      <c r="D2" s="81"/>
      <c r="E2" s="81"/>
      <c r="F2" s="81"/>
      <c r="G2" s="81"/>
      <c r="H2" s="81"/>
      <c r="I2" s="81"/>
    </row>
    <row r="3" spans="1:9" s="4" customFormat="1" ht="14.25" customHeight="1">
      <c r="A3" s="3"/>
      <c r="B3" s="57"/>
      <c r="C3" s="57"/>
      <c r="D3" s="57"/>
      <c r="E3" s="57"/>
      <c r="F3" s="57"/>
      <c r="G3" s="57"/>
      <c r="H3" s="57"/>
      <c r="I3" s="57"/>
    </row>
    <row r="4" spans="1:9" s="4" customFormat="1" ht="16.5" customHeight="1">
      <c r="A4" s="3"/>
      <c r="B4" s="57"/>
      <c r="C4" s="57"/>
      <c r="D4" s="57"/>
      <c r="E4" s="57"/>
      <c r="F4" s="57"/>
      <c r="G4" s="57"/>
      <c r="H4" s="57"/>
      <c r="I4" s="57"/>
    </row>
    <row r="5" spans="1:9" s="4" customFormat="1" ht="9.75" customHeight="1">
      <c r="A5" s="3"/>
      <c r="B5" s="61"/>
      <c r="C5" s="62"/>
      <c r="D5" s="62"/>
      <c r="E5" s="62"/>
      <c r="F5" s="62"/>
      <c r="G5" s="63"/>
      <c r="H5" s="57"/>
      <c r="I5" s="57"/>
    </row>
    <row r="6" spans="1:9" s="4" customFormat="1" ht="19.5" customHeight="1">
      <c r="A6" s="3"/>
      <c r="B6" s="64" t="s">
        <v>128</v>
      </c>
      <c r="C6" s="65" t="s">
        <v>129</v>
      </c>
      <c r="D6" s="65"/>
      <c r="E6" s="65"/>
      <c r="F6" s="65"/>
      <c r="G6" s="66"/>
      <c r="H6" s="57"/>
      <c r="I6" s="57"/>
    </row>
    <row r="7" spans="1:9" s="4" customFormat="1" ht="20.25" customHeight="1">
      <c r="A7" s="3"/>
      <c r="B7" s="64"/>
      <c r="C7" s="67" t="s">
        <v>130</v>
      </c>
      <c r="D7" s="67"/>
      <c r="E7" s="67"/>
      <c r="F7" s="67"/>
      <c r="G7" s="68"/>
      <c r="H7" s="57"/>
      <c r="I7" s="57"/>
    </row>
    <row r="8" spans="1:9" s="4" customFormat="1" ht="20.25" customHeight="1">
      <c r="A8" s="3"/>
      <c r="B8" s="64"/>
      <c r="C8" s="67" t="s">
        <v>131</v>
      </c>
      <c r="D8" s="67"/>
      <c r="E8" s="67"/>
      <c r="F8" s="67"/>
      <c r="G8" s="68"/>
      <c r="H8" s="57"/>
      <c r="I8" s="57"/>
    </row>
    <row r="9" spans="2:7" ht="15.75" customHeight="1">
      <c r="B9" s="64"/>
      <c r="C9" s="116" t="s">
        <v>134</v>
      </c>
      <c r="D9" s="67"/>
      <c r="E9" s="67"/>
      <c r="F9" s="67"/>
      <c r="G9" s="68"/>
    </row>
    <row r="10" spans="2:7" ht="19.5">
      <c r="B10" s="58"/>
      <c r="C10" s="117" t="s">
        <v>135</v>
      </c>
      <c r="D10" s="118"/>
      <c r="E10" s="59"/>
      <c r="F10" s="59"/>
      <c r="G10" s="60"/>
    </row>
    <row r="11" ht="12" customHeight="1"/>
    <row r="12" spans="2:9" s="69" customFormat="1" ht="24.75" customHeight="1">
      <c r="B12" s="82" t="s">
        <v>133</v>
      </c>
      <c r="C12" s="82"/>
      <c r="D12" s="82"/>
      <c r="E12" s="82"/>
      <c r="F12" s="82"/>
      <c r="G12" s="82"/>
      <c r="H12" s="82"/>
      <c r="I12" s="82"/>
    </row>
    <row r="13" ht="12" customHeight="1"/>
    <row r="14" spans="2:5" ht="30" customHeight="1">
      <c r="B14" t="s">
        <v>0</v>
      </c>
      <c r="D14" s="83" t="s">
        <v>101</v>
      </c>
      <c r="E14" s="83"/>
    </row>
    <row r="15" ht="30" customHeight="1">
      <c r="G15" s="24"/>
    </row>
    <row r="16" spans="2:6" ht="30" customHeight="1">
      <c r="B16" t="s">
        <v>1</v>
      </c>
      <c r="D16" s="80" t="s">
        <v>102</v>
      </c>
      <c r="E16" s="80"/>
      <c r="F16" s="80"/>
    </row>
    <row r="17" ht="30" customHeight="1"/>
    <row r="18" spans="2:6" ht="30" customHeight="1">
      <c r="B18" t="s">
        <v>2</v>
      </c>
      <c r="D18" s="84" t="s">
        <v>103</v>
      </c>
      <c r="E18" s="84"/>
      <c r="F18" s="1"/>
    </row>
    <row r="19" ht="30" customHeight="1"/>
    <row r="20" ht="30" customHeight="1">
      <c r="B20" t="s">
        <v>3</v>
      </c>
    </row>
    <row r="21" spans="2:3" ht="30" customHeight="1">
      <c r="B21" t="s">
        <v>4</v>
      </c>
      <c r="C21" t="s">
        <v>5</v>
      </c>
    </row>
    <row r="22" spans="2:3" ht="30" customHeight="1">
      <c r="B22" t="s">
        <v>6</v>
      </c>
      <c r="C22" t="s">
        <v>7</v>
      </c>
    </row>
    <row r="23" spans="2:3" ht="30" customHeight="1">
      <c r="B23" t="s">
        <v>8</v>
      </c>
      <c r="C23" t="s">
        <v>27</v>
      </c>
    </row>
    <row r="24" spans="2:3" ht="30" customHeight="1">
      <c r="B24" t="s">
        <v>9</v>
      </c>
      <c r="C24" t="s">
        <v>10</v>
      </c>
    </row>
    <row r="25" spans="2:3" ht="30" customHeight="1">
      <c r="B25" t="s">
        <v>11</v>
      </c>
      <c r="C25" t="s">
        <v>12</v>
      </c>
    </row>
    <row r="26" spans="2:3" ht="30" customHeight="1">
      <c r="B26" t="s">
        <v>13</v>
      </c>
      <c r="C26" t="s">
        <v>14</v>
      </c>
    </row>
    <row r="27" spans="2:3" ht="30" customHeight="1">
      <c r="B27" t="s">
        <v>23</v>
      </c>
      <c r="C27" t="s">
        <v>15</v>
      </c>
    </row>
    <row r="28" spans="2:3" ht="30" customHeight="1">
      <c r="B28" t="s">
        <v>24</v>
      </c>
      <c r="C28" t="s">
        <v>16</v>
      </c>
    </row>
    <row r="29" spans="2:3" ht="30" customHeight="1">
      <c r="B29" t="s">
        <v>25</v>
      </c>
      <c r="C29" t="s">
        <v>17</v>
      </c>
    </row>
    <row r="30" spans="2:3" ht="30" customHeight="1">
      <c r="B30" t="s">
        <v>18</v>
      </c>
      <c r="C30" t="s">
        <v>28</v>
      </c>
    </row>
    <row r="31" spans="2:3" ht="30" customHeight="1">
      <c r="B31" t="s">
        <v>19</v>
      </c>
      <c r="C31" t="s">
        <v>20</v>
      </c>
    </row>
    <row r="32" spans="2:3" ht="30" customHeight="1">
      <c r="B32" s="2" t="s">
        <v>26</v>
      </c>
      <c r="C32" t="s">
        <v>21</v>
      </c>
    </row>
    <row r="33" spans="2:3" ht="30" customHeight="1">
      <c r="B33" t="s">
        <v>22</v>
      </c>
      <c r="C33" t="s">
        <v>29</v>
      </c>
    </row>
    <row r="36" spans="2:9" ht="15.75">
      <c r="B36" s="79" t="s">
        <v>30</v>
      </c>
      <c r="C36" s="79"/>
      <c r="D36" s="79"/>
      <c r="E36" s="79"/>
      <c r="F36" s="79"/>
      <c r="G36" s="79"/>
      <c r="H36" s="79"/>
      <c r="I36" s="79"/>
    </row>
    <row r="37" spans="2:9" ht="15.75">
      <c r="B37" s="79"/>
      <c r="C37" s="79"/>
      <c r="D37" s="79"/>
      <c r="E37" s="79"/>
      <c r="F37" s="79"/>
      <c r="G37" s="79"/>
      <c r="H37" s="79"/>
      <c r="I37" s="79"/>
    </row>
  </sheetData>
  <sheetProtection password="CC3B" sheet="1" objects="1" scenarios="1"/>
  <mergeCells count="6">
    <mergeCell ref="B36:I37"/>
    <mergeCell ref="D16:F16"/>
    <mergeCell ref="B2:I2"/>
    <mergeCell ref="B12:I12"/>
    <mergeCell ref="D14:E14"/>
    <mergeCell ref="D18:E18"/>
  </mergeCells>
  <hyperlinks>
    <hyperlink ref="C10" r:id="rId1" display="mrivasb@salud.aragon.es"/>
    <hyperlink ref="C9" r:id="rId2" display="pruizm@salud.aragon.es"/>
  </hyperlinks>
  <printOptions/>
  <pageMargins left="0.27" right="0.38" top="0.71" bottom="1" header="0" footer="0"/>
  <pageSetup horizontalDpi="300" verticalDpi="300" orientation="portrait" r:id="rId3"/>
</worksheet>
</file>

<file path=xl/worksheets/sheet2.xml><?xml version="1.0" encoding="utf-8"?>
<worksheet xmlns="http://schemas.openxmlformats.org/spreadsheetml/2006/main" xmlns:r="http://schemas.openxmlformats.org/officeDocument/2006/relationships">
  <sheetPr codeName="Hoja3"/>
  <dimension ref="B2:H49"/>
  <sheetViews>
    <sheetView showGridLines="0" showRowColHeaders="0" workbookViewId="0" topLeftCell="A1">
      <selection activeCell="H12" sqref="H12"/>
    </sheetView>
  </sheetViews>
  <sheetFormatPr defaultColWidth="11.00390625" defaultRowHeight="15.75"/>
  <cols>
    <col min="1" max="1" width="5.50390625" style="0" customWidth="1"/>
  </cols>
  <sheetData>
    <row r="2" spans="2:7" ht="18.75">
      <c r="B2" s="85" t="s">
        <v>127</v>
      </c>
      <c r="C2" s="85"/>
      <c r="D2" s="85"/>
      <c r="E2" s="85"/>
      <c r="F2" s="85"/>
      <c r="G2" s="85"/>
    </row>
    <row r="4" ht="15.75">
      <c r="B4" t="s">
        <v>117</v>
      </c>
    </row>
    <row r="16" spans="2:8" ht="15.75">
      <c r="B16" t="s">
        <v>104</v>
      </c>
      <c r="C16" s="94"/>
      <c r="D16" s="94"/>
      <c r="E16" s="24"/>
      <c r="F16" s="17" t="s">
        <v>31</v>
      </c>
      <c r="G16" s="17"/>
      <c r="H16" s="46" t="s">
        <v>114</v>
      </c>
    </row>
    <row r="17" spans="2:8" ht="15.75">
      <c r="B17" t="s">
        <v>106</v>
      </c>
      <c r="C17" s="95" t="s">
        <v>120</v>
      </c>
      <c r="D17" s="95"/>
      <c r="E17" s="24"/>
      <c r="F17" s="90" t="s">
        <v>32</v>
      </c>
      <c r="G17" s="90"/>
      <c r="H17" s="46" t="s">
        <v>118</v>
      </c>
    </row>
    <row r="18" spans="2:8" ht="15.75">
      <c r="B18" t="s">
        <v>105</v>
      </c>
      <c r="C18" s="44"/>
      <c r="D18" s="45"/>
      <c r="E18" s="24"/>
      <c r="F18" s="90" t="s">
        <v>33</v>
      </c>
      <c r="G18" s="90"/>
      <c r="H18" s="47" t="s">
        <v>55</v>
      </c>
    </row>
    <row r="19" spans="2:6" ht="15.75">
      <c r="B19" s="30"/>
      <c r="C19" s="30"/>
      <c r="D19" s="30"/>
      <c r="E19" s="24"/>
      <c r="F19" s="24"/>
    </row>
    <row r="23" spans="2:6" ht="15.75">
      <c r="B23" s="92" t="s">
        <v>38</v>
      </c>
      <c r="C23" s="92"/>
      <c r="D23" s="92"/>
      <c r="E23" s="16" t="s">
        <v>47</v>
      </c>
      <c r="F23" s="16" t="s">
        <v>48</v>
      </c>
    </row>
    <row r="24" spans="2:6" ht="15.75">
      <c r="B24" s="90" t="s">
        <v>34</v>
      </c>
      <c r="C24" s="90"/>
      <c r="D24" s="90"/>
      <c r="E24" s="3" t="s">
        <v>49</v>
      </c>
      <c r="F24" s="48">
        <v>1</v>
      </c>
    </row>
    <row r="25" spans="2:6" ht="15.75">
      <c r="B25" s="90" t="s">
        <v>10</v>
      </c>
      <c r="C25" s="90"/>
      <c r="D25" s="90"/>
      <c r="E25" s="3" t="s">
        <v>50</v>
      </c>
      <c r="F25" s="49">
        <v>0.25</v>
      </c>
    </row>
    <row r="26" spans="2:6" ht="15.75">
      <c r="B26" s="90" t="s">
        <v>35</v>
      </c>
      <c r="C26" s="90"/>
      <c r="D26" s="90"/>
      <c r="E26" s="3"/>
      <c r="F26" s="49" t="s">
        <v>112</v>
      </c>
    </row>
    <row r="27" spans="2:6" ht="15.75">
      <c r="B27" s="90" t="s">
        <v>36</v>
      </c>
      <c r="C27" s="90"/>
      <c r="D27" s="90"/>
      <c r="E27" s="3" t="s">
        <v>56</v>
      </c>
      <c r="F27" s="49">
        <v>0.02</v>
      </c>
    </row>
    <row r="28" spans="5:6" ht="15.75">
      <c r="E28" s="40"/>
      <c r="F28" s="40"/>
    </row>
    <row r="29" spans="2:6" ht="15.75">
      <c r="B29" s="92" t="s">
        <v>37</v>
      </c>
      <c r="C29" s="92"/>
      <c r="D29" s="92"/>
      <c r="E29" s="93"/>
      <c r="F29" s="93"/>
    </row>
    <row r="30" spans="2:6" ht="15.75">
      <c r="B30" s="90" t="s">
        <v>40</v>
      </c>
      <c r="C30" s="90"/>
      <c r="D30" s="90"/>
      <c r="E30" s="50" t="s">
        <v>51</v>
      </c>
      <c r="F30" s="48">
        <v>80</v>
      </c>
    </row>
    <row r="31" spans="2:6" ht="15.75">
      <c r="B31" s="90" t="s">
        <v>41</v>
      </c>
      <c r="C31" s="90"/>
      <c r="D31" s="90"/>
      <c r="E31" s="50" t="s">
        <v>52</v>
      </c>
      <c r="F31" s="49">
        <v>125</v>
      </c>
    </row>
    <row r="32" spans="2:6" ht="18.75">
      <c r="B32" s="90" t="s">
        <v>42</v>
      </c>
      <c r="C32" s="90"/>
      <c r="D32" s="90"/>
      <c r="E32" s="51" t="s">
        <v>53</v>
      </c>
      <c r="F32" s="23">
        <v>11.1</v>
      </c>
    </row>
    <row r="34" spans="2:6" ht="15.75">
      <c r="B34" s="92" t="s">
        <v>43</v>
      </c>
      <c r="C34" s="92"/>
      <c r="D34" s="92"/>
      <c r="E34" s="89"/>
      <c r="F34" s="89"/>
    </row>
    <row r="35" spans="2:6" ht="15.75">
      <c r="B35" s="90" t="s">
        <v>44</v>
      </c>
      <c r="C35" s="90"/>
      <c r="D35" s="90"/>
      <c r="E35" s="3" t="s">
        <v>54</v>
      </c>
      <c r="F35" s="48">
        <v>2</v>
      </c>
    </row>
    <row r="37" spans="2:6" ht="15.75">
      <c r="B37" s="91" t="s">
        <v>45</v>
      </c>
      <c r="C37" s="91"/>
      <c r="D37" s="91"/>
      <c r="E37" s="25" t="s">
        <v>55</v>
      </c>
      <c r="F37" s="26">
        <v>2775</v>
      </c>
    </row>
    <row r="38" spans="2:6" ht="15.75">
      <c r="B38" s="89"/>
      <c r="C38" s="89"/>
      <c r="D38" s="89"/>
      <c r="E38" s="89"/>
      <c r="F38" s="89"/>
    </row>
    <row r="39" spans="2:6" ht="18.75">
      <c r="B39" s="86" t="s">
        <v>46</v>
      </c>
      <c r="C39" s="86"/>
      <c r="D39" s="86"/>
      <c r="E39" s="86"/>
      <c r="F39" s="29">
        <v>2.005</v>
      </c>
    </row>
    <row r="41" spans="2:7" ht="15.75">
      <c r="B41" s="87" t="s">
        <v>108</v>
      </c>
      <c r="C41" s="87"/>
      <c r="D41" s="87"/>
      <c r="E41" s="87"/>
      <c r="F41" s="87"/>
      <c r="G41" s="87"/>
    </row>
    <row r="42" spans="2:6" ht="18.75">
      <c r="B42" s="88" t="s">
        <v>109</v>
      </c>
      <c r="C42" s="88"/>
      <c r="D42" s="88"/>
      <c r="E42" s="88"/>
      <c r="F42" s="43">
        <v>2.50625</v>
      </c>
    </row>
    <row r="43" spans="2:6" ht="18.75">
      <c r="B43" s="88" t="s">
        <v>110</v>
      </c>
      <c r="C43" s="88"/>
      <c r="D43" s="88"/>
      <c r="E43" s="88"/>
      <c r="F43" s="43">
        <v>16.03</v>
      </c>
    </row>
    <row r="44" spans="2:6" ht="18.75">
      <c r="B44" s="88" t="s">
        <v>111</v>
      </c>
      <c r="C44" s="88"/>
      <c r="D44" s="88"/>
      <c r="E44" s="88"/>
      <c r="F44" s="43">
        <v>22.78625</v>
      </c>
    </row>
    <row r="47" ht="15.75">
      <c r="F47" s="37"/>
    </row>
    <row r="48" ht="15.75">
      <c r="F48" s="37"/>
    </row>
    <row r="49" ht="15.75">
      <c r="F49" s="37"/>
    </row>
  </sheetData>
  <sheetProtection password="CC3B" sheet="1" objects="1" scenarios="1"/>
  <mergeCells count="25">
    <mergeCell ref="F17:G17"/>
    <mergeCell ref="F18:G18"/>
    <mergeCell ref="B23:D23"/>
    <mergeCell ref="B24:D24"/>
    <mergeCell ref="B25:D25"/>
    <mergeCell ref="C16:D16"/>
    <mergeCell ref="C17:D17"/>
    <mergeCell ref="B26:D26"/>
    <mergeCell ref="B34:D34"/>
    <mergeCell ref="B44:E44"/>
    <mergeCell ref="B43:E43"/>
    <mergeCell ref="B27:D27"/>
    <mergeCell ref="B29:D29"/>
    <mergeCell ref="E29:F29"/>
    <mergeCell ref="B30:D30"/>
    <mergeCell ref="B2:G2"/>
    <mergeCell ref="B39:E39"/>
    <mergeCell ref="B41:G41"/>
    <mergeCell ref="B42:E42"/>
    <mergeCell ref="E34:F34"/>
    <mergeCell ref="B35:D35"/>
    <mergeCell ref="B37:D37"/>
    <mergeCell ref="B38:F38"/>
    <mergeCell ref="B31:D31"/>
    <mergeCell ref="B32:D32"/>
  </mergeCells>
  <printOptions/>
  <pageMargins left="0.75" right="0.75" top="1" bottom="1" header="0" footer="0"/>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Hoja4"/>
  <dimension ref="B2:H54"/>
  <sheetViews>
    <sheetView showGridLines="0" showRowColHeaders="0" workbookViewId="0" topLeftCell="A1">
      <selection activeCell="B2" sqref="B2:G2"/>
    </sheetView>
  </sheetViews>
  <sheetFormatPr defaultColWidth="11.00390625" defaultRowHeight="15.75"/>
  <cols>
    <col min="1" max="1" width="3.50390625" style="0" customWidth="1"/>
    <col min="3" max="3" width="10.50390625" style="0" customWidth="1"/>
    <col min="4" max="4" width="8.875" style="0" customWidth="1"/>
    <col min="5" max="5" width="10.625" style="0" customWidth="1"/>
    <col min="6" max="6" width="12.875" style="0" customWidth="1"/>
  </cols>
  <sheetData>
    <row r="2" spans="2:7" ht="18.75">
      <c r="B2" s="85" t="s">
        <v>126</v>
      </c>
      <c r="C2" s="85"/>
      <c r="D2" s="85"/>
      <c r="E2" s="85"/>
      <c r="F2" s="85"/>
      <c r="G2" s="85"/>
    </row>
    <row r="4" ht="15.75">
      <c r="B4" t="s">
        <v>125</v>
      </c>
    </row>
    <row r="17" spans="2:8" ht="15.75">
      <c r="B17" s="34" t="s">
        <v>104</v>
      </c>
      <c r="C17" s="94"/>
      <c r="D17" s="94"/>
      <c r="F17" s="35" t="s">
        <v>31</v>
      </c>
      <c r="G17" s="35"/>
      <c r="H17" s="52" t="s">
        <v>114</v>
      </c>
    </row>
    <row r="18" spans="2:8" ht="15.75">
      <c r="B18" s="34" t="s">
        <v>106</v>
      </c>
      <c r="C18" s="95" t="s">
        <v>119</v>
      </c>
      <c r="D18" s="95"/>
      <c r="F18" s="100" t="s">
        <v>32</v>
      </c>
      <c r="G18" s="100"/>
      <c r="H18" s="52" t="s">
        <v>121</v>
      </c>
    </row>
    <row r="19" spans="2:8" ht="15.75">
      <c r="B19" s="34" t="s">
        <v>105</v>
      </c>
      <c r="C19" s="44"/>
      <c r="D19" s="40"/>
      <c r="F19" s="100" t="s">
        <v>33</v>
      </c>
      <c r="G19" s="100"/>
      <c r="H19" s="53" t="s">
        <v>122</v>
      </c>
    </row>
    <row r="22" spans="2:7" ht="15.75">
      <c r="B22" s="92" t="s">
        <v>38</v>
      </c>
      <c r="C22" s="92"/>
      <c r="D22" s="92"/>
      <c r="E22" s="16" t="s">
        <v>47</v>
      </c>
      <c r="F22" s="32" t="s">
        <v>67</v>
      </c>
      <c r="G22" s="33" t="s">
        <v>68</v>
      </c>
    </row>
    <row r="23" spans="2:7" ht="15.75">
      <c r="B23" s="96" t="s">
        <v>34</v>
      </c>
      <c r="C23" s="96"/>
      <c r="D23" s="96"/>
      <c r="E23" s="50" t="s">
        <v>49</v>
      </c>
      <c r="F23" s="101">
        <v>1</v>
      </c>
      <c r="G23" s="101"/>
    </row>
    <row r="24" spans="2:7" ht="15.75">
      <c r="B24" s="96" t="s">
        <v>10</v>
      </c>
      <c r="C24" s="96"/>
      <c r="D24" s="96"/>
      <c r="E24" s="50" t="s">
        <v>50</v>
      </c>
      <c r="F24" s="99">
        <v>1</v>
      </c>
      <c r="G24" s="99"/>
    </row>
    <row r="25" spans="2:7" ht="15.75">
      <c r="B25" s="96" t="s">
        <v>35</v>
      </c>
      <c r="C25" s="96"/>
      <c r="D25" s="96"/>
      <c r="E25" s="50"/>
      <c r="F25" s="102" t="s">
        <v>112</v>
      </c>
      <c r="G25" s="102"/>
    </row>
    <row r="26" spans="2:7" ht="15.75">
      <c r="B26" s="96" t="s">
        <v>36</v>
      </c>
      <c r="C26" s="96"/>
      <c r="D26" s="96"/>
      <c r="E26" s="50" t="s">
        <v>56</v>
      </c>
      <c r="F26" s="102">
        <v>0.02</v>
      </c>
      <c r="G26" s="102"/>
    </row>
    <row r="27" spans="2:7" ht="15.75">
      <c r="B27" s="97"/>
      <c r="C27" s="97"/>
      <c r="D27" s="97"/>
      <c r="E27" s="97"/>
      <c r="F27" s="97"/>
      <c r="G27" s="97"/>
    </row>
    <row r="28" spans="2:7" ht="15.75">
      <c r="B28" s="98" t="s">
        <v>37</v>
      </c>
      <c r="C28" s="98"/>
      <c r="D28" s="98"/>
      <c r="E28" s="93"/>
      <c r="F28" s="93"/>
      <c r="G28" s="93"/>
    </row>
    <row r="29" spans="2:7" ht="18.75">
      <c r="B29" s="96" t="s">
        <v>69</v>
      </c>
      <c r="C29" s="96"/>
      <c r="D29" s="96"/>
      <c r="E29" s="50" t="s">
        <v>70</v>
      </c>
      <c r="F29" s="50"/>
      <c r="G29" s="48">
        <v>240</v>
      </c>
    </row>
    <row r="30" spans="2:7" ht="15.75">
      <c r="B30" s="96" t="s">
        <v>40</v>
      </c>
      <c r="C30" s="96"/>
      <c r="D30" s="96"/>
      <c r="E30" s="50" t="s">
        <v>51</v>
      </c>
      <c r="F30" s="99">
        <v>80</v>
      </c>
      <c r="G30" s="99"/>
    </row>
    <row r="31" spans="2:7" ht="15.75">
      <c r="B31" s="96" t="s">
        <v>41</v>
      </c>
      <c r="C31" s="96"/>
      <c r="D31" s="96"/>
      <c r="E31" s="50" t="s">
        <v>52</v>
      </c>
      <c r="F31" s="102">
        <v>125</v>
      </c>
      <c r="G31" s="102"/>
    </row>
    <row r="32" spans="2:7" ht="18.75">
      <c r="B32" s="54" t="s">
        <v>42</v>
      </c>
      <c r="C32" s="54"/>
      <c r="D32" s="54"/>
      <c r="E32" s="51" t="s">
        <v>53</v>
      </c>
      <c r="F32" s="23">
        <v>11.1</v>
      </c>
      <c r="G32" s="50"/>
    </row>
    <row r="33" spans="2:7" ht="15.75">
      <c r="B33" s="96" t="s">
        <v>71</v>
      </c>
      <c r="C33" s="96"/>
      <c r="D33" s="96"/>
      <c r="E33" s="50" t="s">
        <v>74</v>
      </c>
      <c r="F33" s="50"/>
      <c r="G33" s="48">
        <v>0.68</v>
      </c>
    </row>
    <row r="34" spans="2:7" ht="15.75">
      <c r="B34" s="96" t="s">
        <v>72</v>
      </c>
      <c r="C34" s="96"/>
      <c r="D34" s="96"/>
      <c r="E34" s="50" t="s">
        <v>73</v>
      </c>
      <c r="F34" s="50"/>
      <c r="G34" s="36">
        <v>0.27</v>
      </c>
    </row>
    <row r="35" spans="2:7" ht="15.75">
      <c r="B35" s="40"/>
      <c r="C35" s="40"/>
      <c r="D35" s="40"/>
      <c r="E35" s="40"/>
      <c r="F35" s="40"/>
      <c r="G35" s="40"/>
    </row>
    <row r="36" spans="2:7" ht="15.75">
      <c r="B36" s="40"/>
      <c r="C36" s="40"/>
      <c r="D36" s="40"/>
      <c r="E36" s="40"/>
      <c r="F36" s="40"/>
      <c r="G36" s="40"/>
    </row>
    <row r="37" spans="2:7" ht="15.75">
      <c r="B37" s="98" t="s">
        <v>43</v>
      </c>
      <c r="C37" s="98"/>
      <c r="D37" s="98"/>
      <c r="E37" s="93"/>
      <c r="F37" s="93"/>
      <c r="G37" s="93"/>
    </row>
    <row r="38" spans="2:7" ht="18.75">
      <c r="B38" s="96" t="s">
        <v>75</v>
      </c>
      <c r="C38" s="96"/>
      <c r="D38" s="96"/>
      <c r="E38" s="50" t="s">
        <v>76</v>
      </c>
      <c r="F38" s="48">
        <v>1.6</v>
      </c>
      <c r="G38" s="55"/>
    </row>
    <row r="39" spans="2:7" ht="18.75">
      <c r="B39" s="96" t="s">
        <v>77</v>
      </c>
      <c r="C39" s="96"/>
      <c r="D39" s="96"/>
      <c r="E39" s="50" t="s">
        <v>78</v>
      </c>
      <c r="F39" s="49">
        <v>1.7</v>
      </c>
      <c r="G39" s="55"/>
    </row>
    <row r="40" spans="2:7" ht="15.75">
      <c r="B40" s="96" t="s">
        <v>79</v>
      </c>
      <c r="C40" s="96"/>
      <c r="D40" s="96"/>
      <c r="E40" s="50" t="s">
        <v>54</v>
      </c>
      <c r="F40" s="55"/>
      <c r="G40" s="48">
        <v>1.7</v>
      </c>
    </row>
    <row r="41" spans="2:7" ht="15.75">
      <c r="B41" s="40"/>
      <c r="C41" s="40"/>
      <c r="D41" s="40"/>
      <c r="E41" s="40"/>
      <c r="F41" s="40"/>
      <c r="G41" s="40"/>
    </row>
    <row r="42" spans="2:7" ht="15.75">
      <c r="B42" s="98" t="s">
        <v>80</v>
      </c>
      <c r="C42" s="98"/>
      <c r="D42" s="98"/>
      <c r="E42" s="93"/>
      <c r="F42" s="93"/>
      <c r="G42" s="93"/>
    </row>
    <row r="43" spans="2:7" ht="18.75">
      <c r="B43" s="96" t="s">
        <v>81</v>
      </c>
      <c r="C43" s="96"/>
      <c r="D43" s="96"/>
      <c r="E43" s="50" t="s">
        <v>84</v>
      </c>
      <c r="F43" s="48">
        <v>1500</v>
      </c>
      <c r="G43" s="55"/>
    </row>
    <row r="44" spans="2:7" ht="15.75">
      <c r="B44" s="96" t="s">
        <v>82</v>
      </c>
      <c r="C44" s="96"/>
      <c r="D44" s="96"/>
      <c r="E44" s="50" t="s">
        <v>83</v>
      </c>
      <c r="F44" s="49">
        <v>0.002</v>
      </c>
      <c r="G44" s="55"/>
    </row>
    <row r="45" spans="2:7" ht="15.75">
      <c r="B45" s="93"/>
      <c r="C45" s="93"/>
      <c r="D45" s="93"/>
      <c r="E45" s="93"/>
      <c r="F45" s="93"/>
      <c r="G45" s="93"/>
    </row>
    <row r="46" spans="2:7" ht="15.75">
      <c r="B46" s="72" t="s">
        <v>45</v>
      </c>
      <c r="C46" s="72"/>
      <c r="D46" s="72"/>
      <c r="E46" s="56" t="s">
        <v>55</v>
      </c>
      <c r="F46" s="26">
        <v>45.00973183391003</v>
      </c>
      <c r="G46" s="27">
        <v>3.921568627450981</v>
      </c>
    </row>
    <row r="47" spans="2:7" ht="15.75">
      <c r="B47" s="93"/>
      <c r="C47" s="93"/>
      <c r="D47" s="93"/>
      <c r="E47" s="93"/>
      <c r="F47" s="93"/>
      <c r="G47" s="93"/>
    </row>
    <row r="48" spans="2:7" ht="15.75">
      <c r="B48" s="71" t="s">
        <v>46</v>
      </c>
      <c r="C48" s="71"/>
      <c r="D48" s="71"/>
      <c r="E48" s="71"/>
      <c r="F48" s="27">
        <v>0.6550778546712803</v>
      </c>
      <c r="G48" s="27">
        <v>0.532286328906872</v>
      </c>
    </row>
    <row r="49" spans="2:7" ht="36.75" customHeight="1">
      <c r="B49" s="40"/>
      <c r="C49" s="40"/>
      <c r="D49" s="40"/>
      <c r="E49" s="40"/>
      <c r="F49" s="40"/>
      <c r="G49" s="40"/>
    </row>
    <row r="50" spans="2:7" ht="18.75">
      <c r="B50" s="73" t="s">
        <v>107</v>
      </c>
      <c r="C50" s="73"/>
      <c r="D50" s="73"/>
      <c r="E50" s="73"/>
      <c r="F50" s="74">
        <v>0.9250778546712803</v>
      </c>
      <c r="G50" s="74"/>
    </row>
    <row r="51" spans="2:7" ht="53.25" customHeight="1">
      <c r="B51" s="103" t="s">
        <v>108</v>
      </c>
      <c r="C51" s="103"/>
      <c r="D51" s="103"/>
      <c r="E51" s="103"/>
      <c r="F51" s="103"/>
      <c r="G51" s="103"/>
    </row>
    <row r="52" spans="2:7" ht="24.75" customHeight="1">
      <c r="B52" s="104" t="s">
        <v>109</v>
      </c>
      <c r="C52" s="104"/>
      <c r="D52" s="104"/>
      <c r="E52" s="104"/>
      <c r="F52" s="105">
        <v>1.0878457612456747</v>
      </c>
      <c r="G52" s="106"/>
    </row>
    <row r="53" spans="2:7" ht="18.75">
      <c r="B53" s="104" t="s">
        <v>110</v>
      </c>
      <c r="C53" s="104"/>
      <c r="D53" s="104"/>
      <c r="E53" s="104"/>
      <c r="F53" s="105">
        <v>8.64313062283737</v>
      </c>
      <c r="G53" s="106"/>
    </row>
    <row r="54" spans="2:7" ht="18.75">
      <c r="B54" s="104" t="s">
        <v>111</v>
      </c>
      <c r="C54" s="104"/>
      <c r="D54" s="104"/>
      <c r="E54" s="104"/>
      <c r="F54" s="105">
        <v>12.630903114186852</v>
      </c>
      <c r="G54" s="106"/>
    </row>
  </sheetData>
  <sheetProtection password="CC3B" sheet="1" objects="1" scenarios="1"/>
  <mergeCells count="46">
    <mergeCell ref="B53:E53"/>
    <mergeCell ref="F53:G53"/>
    <mergeCell ref="B54:E54"/>
    <mergeCell ref="F54:G54"/>
    <mergeCell ref="B44:D44"/>
    <mergeCell ref="B45:G45"/>
    <mergeCell ref="B51:G51"/>
    <mergeCell ref="B52:E52"/>
    <mergeCell ref="F52:G52"/>
    <mergeCell ref="B48:E48"/>
    <mergeCell ref="B46:D46"/>
    <mergeCell ref="B47:G47"/>
    <mergeCell ref="B50:E50"/>
    <mergeCell ref="F50:G50"/>
    <mergeCell ref="B40:D40"/>
    <mergeCell ref="B42:D42"/>
    <mergeCell ref="E42:G42"/>
    <mergeCell ref="B43:D43"/>
    <mergeCell ref="B37:D37"/>
    <mergeCell ref="E37:G37"/>
    <mergeCell ref="B38:D38"/>
    <mergeCell ref="B39:D39"/>
    <mergeCell ref="F31:G31"/>
    <mergeCell ref="B33:D33"/>
    <mergeCell ref="B34:D34"/>
    <mergeCell ref="F24:G24"/>
    <mergeCell ref="B25:D25"/>
    <mergeCell ref="F25:G25"/>
    <mergeCell ref="B26:D26"/>
    <mergeCell ref="F26:G26"/>
    <mergeCell ref="B24:D24"/>
    <mergeCell ref="F18:G18"/>
    <mergeCell ref="F19:G19"/>
    <mergeCell ref="B22:D22"/>
    <mergeCell ref="B23:D23"/>
    <mergeCell ref="F23:G23"/>
    <mergeCell ref="B2:G2"/>
    <mergeCell ref="C17:D17"/>
    <mergeCell ref="C18:D18"/>
    <mergeCell ref="B31:D31"/>
    <mergeCell ref="B29:D29"/>
    <mergeCell ref="B30:D30"/>
    <mergeCell ref="B27:G27"/>
    <mergeCell ref="B28:D28"/>
    <mergeCell ref="E28:G28"/>
    <mergeCell ref="F30:G30"/>
  </mergeCells>
  <printOptions/>
  <pageMargins left="0.75" right="0.75" top="1"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Hoja5"/>
  <dimension ref="B1:AR38"/>
  <sheetViews>
    <sheetView showGridLines="0" showRowColHeaders="0" zoomScaleSheetLayoutView="100" workbookViewId="0" topLeftCell="A1">
      <selection activeCell="AQ8" sqref="AQ8"/>
    </sheetView>
  </sheetViews>
  <sheetFormatPr defaultColWidth="11.00390625" defaultRowHeight="15.75"/>
  <cols>
    <col min="1" max="1" width="7.125" style="2" customWidth="1"/>
    <col min="6" max="7" width="10.625" style="0" customWidth="1"/>
    <col min="8" max="8" width="6.375" style="0" hidden="1" customWidth="1"/>
    <col min="9" max="9" width="5.625" style="7" hidden="1" customWidth="1"/>
    <col min="10" max="10" width="6.125" style="7" hidden="1" customWidth="1"/>
    <col min="11" max="11" width="4.875" style="7" hidden="1" customWidth="1"/>
    <col min="12" max="12" width="4.75390625" style="7" hidden="1" customWidth="1"/>
    <col min="13" max="13" width="5.625" style="7" hidden="1" customWidth="1"/>
    <col min="14" max="14" width="5.125" style="7" hidden="1" customWidth="1"/>
    <col min="15" max="15" width="5.00390625" style="7" hidden="1" customWidth="1"/>
    <col min="16" max="16" width="7.125" style="7" hidden="1" customWidth="1"/>
    <col min="17" max="17" width="4.75390625" style="7" hidden="1" customWidth="1"/>
    <col min="18" max="18" width="6.75390625" style="7" hidden="1" customWidth="1"/>
    <col min="19" max="19" width="6.375" style="7" hidden="1" customWidth="1"/>
    <col min="20" max="20" width="4.75390625" style="7" hidden="1" customWidth="1"/>
    <col min="21" max="21" width="5.50390625" style="7" hidden="1" customWidth="1"/>
    <col min="22" max="22" width="5.00390625" style="7" hidden="1" customWidth="1"/>
    <col min="23" max="23" width="5.625" style="7" hidden="1" customWidth="1"/>
    <col min="24" max="24" width="7.25390625" style="7" hidden="1" customWidth="1"/>
    <col min="25" max="25" width="7.00390625" style="7" hidden="1" customWidth="1"/>
    <col min="26" max="26" width="6.25390625" style="7" hidden="1" customWidth="1"/>
    <col min="27" max="27" width="6.625" style="7" hidden="1" customWidth="1"/>
    <col min="28" max="28" width="6.50390625" style="7" hidden="1" customWidth="1"/>
    <col min="29" max="29" width="6.375" style="7" hidden="1" customWidth="1"/>
    <col min="30" max="30" width="7.125" style="7" hidden="1" customWidth="1"/>
    <col min="31" max="31" width="5.625" style="7" hidden="1" customWidth="1"/>
    <col min="32" max="32" width="6.125" style="7" hidden="1" customWidth="1"/>
    <col min="33" max="33" width="6.25390625" style="7" hidden="1" customWidth="1"/>
    <col min="34" max="34" width="6.75390625" style="7" hidden="1" customWidth="1"/>
    <col min="35" max="35" width="6.375" style="7" hidden="1" customWidth="1"/>
    <col min="36" max="36" width="6.75390625" style="7" hidden="1" customWidth="1"/>
    <col min="37" max="37" width="3.75390625" style="7" hidden="1" customWidth="1"/>
    <col min="38" max="38" width="6.125" style="7" hidden="1" customWidth="1"/>
    <col min="39" max="39" width="6.50390625" style="7" hidden="1" customWidth="1"/>
    <col min="40" max="40" width="6.375" style="7" hidden="1" customWidth="1"/>
    <col min="41" max="41" width="6.375" style="0" hidden="1" customWidth="1"/>
    <col min="42" max="42" width="15.625" style="0" hidden="1" customWidth="1"/>
  </cols>
  <sheetData>
    <row r="1" spans="8:21" ht="33.75" customHeight="1">
      <c r="H1" s="7"/>
      <c r="I1" s="11"/>
      <c r="J1" s="11" t="s">
        <v>57</v>
      </c>
      <c r="K1" s="11"/>
      <c r="L1" s="11"/>
      <c r="M1" s="11"/>
      <c r="N1" s="11"/>
      <c r="O1" s="11"/>
      <c r="P1" s="11"/>
      <c r="Q1" s="11"/>
      <c r="R1" s="11"/>
      <c r="S1" s="11"/>
      <c r="T1" s="11"/>
      <c r="U1" s="11"/>
    </row>
    <row r="2" spans="2:26" ht="15.75">
      <c r="B2" s="109" t="s">
        <v>39</v>
      </c>
      <c r="C2" s="109"/>
      <c r="D2" s="109"/>
      <c r="E2" s="109"/>
      <c r="F2" s="109"/>
      <c r="G2" s="109"/>
      <c r="H2" s="7"/>
      <c r="I2" s="11" t="s">
        <v>85</v>
      </c>
      <c r="J2" s="11"/>
      <c r="K2" s="11">
        <v>1</v>
      </c>
      <c r="L2" s="11">
        <v>2</v>
      </c>
      <c r="M2" s="11">
        <v>3</v>
      </c>
      <c r="N2" s="11">
        <v>4</v>
      </c>
      <c r="O2" s="11">
        <v>5</v>
      </c>
      <c r="P2" s="11">
        <v>6</v>
      </c>
      <c r="Q2" s="11">
        <v>7</v>
      </c>
      <c r="R2" s="11">
        <v>8</v>
      </c>
      <c r="S2" s="11">
        <v>9</v>
      </c>
      <c r="T2" s="11">
        <v>10</v>
      </c>
      <c r="U2" s="11">
        <v>11</v>
      </c>
      <c r="Y2" s="7" t="s">
        <v>86</v>
      </c>
      <c r="Z2" s="7" t="s">
        <v>87</v>
      </c>
    </row>
    <row r="3" spans="2:26" ht="15.75">
      <c r="B3" s="24"/>
      <c r="C3" s="24"/>
      <c r="D3" s="24"/>
      <c r="E3" s="24"/>
      <c r="F3" s="24"/>
      <c r="H3" s="7"/>
      <c r="I3" s="11">
        <v>1</v>
      </c>
      <c r="J3" s="12" t="s">
        <v>58</v>
      </c>
      <c r="K3" s="12">
        <v>50</v>
      </c>
      <c r="L3" s="12">
        <v>60</v>
      </c>
      <c r="M3" s="12">
        <v>70</v>
      </c>
      <c r="N3" s="12">
        <v>80</v>
      </c>
      <c r="O3" s="12">
        <v>90</v>
      </c>
      <c r="P3" s="12">
        <v>100</v>
      </c>
      <c r="Q3" s="12">
        <v>110</v>
      </c>
      <c r="R3" s="12">
        <v>120</v>
      </c>
      <c r="S3" s="12">
        <v>130</v>
      </c>
      <c r="T3" s="12">
        <v>140</v>
      </c>
      <c r="U3" s="12">
        <v>150</v>
      </c>
      <c r="Y3" s="7">
        <f>LOOKUP(F17,K3:U3,K2:U2)</f>
        <v>8</v>
      </c>
      <c r="Z3" s="7">
        <f>Y3+1</f>
        <v>9</v>
      </c>
    </row>
    <row r="4" spans="2:44" ht="15.75">
      <c r="B4" t="s">
        <v>104</v>
      </c>
      <c r="C4" s="75" t="s">
        <v>116</v>
      </c>
      <c r="D4" s="75"/>
      <c r="E4" s="24"/>
      <c r="F4" s="17" t="s">
        <v>31</v>
      </c>
      <c r="G4" s="17"/>
      <c r="H4" s="18"/>
      <c r="I4" s="11">
        <v>2</v>
      </c>
      <c r="J4" s="13" t="s">
        <v>53</v>
      </c>
      <c r="K4" s="12">
        <v>1.8</v>
      </c>
      <c r="L4" s="12">
        <v>2.8</v>
      </c>
      <c r="M4" s="12">
        <v>3.8</v>
      </c>
      <c r="N4" s="12">
        <v>5</v>
      </c>
      <c r="O4" s="12">
        <v>6.2</v>
      </c>
      <c r="P4" s="12">
        <v>7.5</v>
      </c>
      <c r="Q4" s="12">
        <v>9</v>
      </c>
      <c r="R4" s="12">
        <v>10.2</v>
      </c>
      <c r="S4" s="12">
        <v>12</v>
      </c>
      <c r="T4" s="12">
        <v>13</v>
      </c>
      <c r="U4" s="12">
        <v>14</v>
      </c>
      <c r="Y4" s="7">
        <f>LOOKUP(Y3,K2:U2,K3:U3)</f>
        <v>120</v>
      </c>
      <c r="Z4" s="7">
        <f>LOOKUP(Z3,K2:U2,K3:U3)</f>
        <v>130</v>
      </c>
      <c r="AP4" s="38" t="s">
        <v>114</v>
      </c>
      <c r="AQ4" s="75"/>
      <c r="AR4" s="75"/>
    </row>
    <row r="5" spans="2:44" ht="15.75">
      <c r="B5" t="s">
        <v>106</v>
      </c>
      <c r="C5" s="76" t="s">
        <v>55</v>
      </c>
      <c r="D5" s="76"/>
      <c r="E5" s="24"/>
      <c r="F5" s="90" t="s">
        <v>32</v>
      </c>
      <c r="G5" s="90"/>
      <c r="H5" s="19"/>
      <c r="Y5" s="7">
        <f>LOOKUP(Y4,K3:U3,K4:U4)</f>
        <v>10.2</v>
      </c>
      <c r="Z5" s="7">
        <f>LOOKUP(Z4,K3:U3,K4:U4)</f>
        <v>12</v>
      </c>
      <c r="AP5" s="39" t="s">
        <v>115</v>
      </c>
      <c r="AQ5" s="75"/>
      <c r="AR5" s="75"/>
    </row>
    <row r="6" spans="2:44" ht="15.75">
      <c r="B6" t="s">
        <v>105</v>
      </c>
      <c r="C6" s="41">
        <v>36336</v>
      </c>
      <c r="D6" s="42"/>
      <c r="E6" s="24"/>
      <c r="F6" s="90" t="s">
        <v>33</v>
      </c>
      <c r="G6" s="90"/>
      <c r="H6" s="19"/>
      <c r="AP6" s="38" t="s">
        <v>55</v>
      </c>
      <c r="AQ6" s="76"/>
      <c r="AR6" s="76"/>
    </row>
    <row r="7" spans="2:10" ht="15.75">
      <c r="B7" s="30"/>
      <c r="C7" s="30"/>
      <c r="D7" s="30"/>
      <c r="E7" s="24"/>
      <c r="F7" s="24"/>
      <c r="H7" s="7"/>
      <c r="J7" s="7" t="s">
        <v>60</v>
      </c>
    </row>
    <row r="8" spans="2:19" ht="24.75" customHeight="1">
      <c r="B8" s="24"/>
      <c r="C8" s="24"/>
      <c r="D8" s="24"/>
      <c r="E8" s="24"/>
      <c r="F8" s="24"/>
      <c r="H8" s="7"/>
      <c r="I8" s="7" t="s">
        <v>85</v>
      </c>
      <c r="J8" s="7">
        <v>1</v>
      </c>
      <c r="K8" s="7">
        <v>2</v>
      </c>
      <c r="L8" s="7">
        <v>3</v>
      </c>
      <c r="M8" s="7">
        <v>4</v>
      </c>
      <c r="N8" s="7">
        <v>5</v>
      </c>
      <c r="R8" s="7" t="s">
        <v>86</v>
      </c>
      <c r="S8" s="7" t="s">
        <v>87</v>
      </c>
    </row>
    <row r="9" spans="2:27" ht="15.75">
      <c r="B9" s="92" t="s">
        <v>38</v>
      </c>
      <c r="C9" s="92"/>
      <c r="D9" s="92"/>
      <c r="E9" s="16" t="s">
        <v>47</v>
      </c>
      <c r="F9" s="16" t="s">
        <v>48</v>
      </c>
      <c r="H9" s="7"/>
      <c r="I9" s="7">
        <v>1</v>
      </c>
      <c r="J9" s="8" t="s">
        <v>59</v>
      </c>
      <c r="K9" s="8">
        <v>50</v>
      </c>
      <c r="L9" s="8">
        <v>75</v>
      </c>
      <c r="M9" s="8">
        <v>100</v>
      </c>
      <c r="N9" s="8">
        <v>150</v>
      </c>
      <c r="R9" s="7">
        <f>LOOKUP(R10,J8:N8,J9:N9)</f>
        <v>100</v>
      </c>
      <c r="S9" s="7">
        <f>LOOKUP(S10,J8:N8,J9:N9)</f>
        <v>150</v>
      </c>
      <c r="AA9" s="7" t="s">
        <v>61</v>
      </c>
    </row>
    <row r="10" spans="2:36" ht="15.75">
      <c r="B10" s="90" t="s">
        <v>34</v>
      </c>
      <c r="C10" s="90"/>
      <c r="D10" s="90"/>
      <c r="E10" s="3" t="s">
        <v>49</v>
      </c>
      <c r="F10" s="20">
        <v>1</v>
      </c>
      <c r="H10" s="7"/>
      <c r="I10" s="7">
        <v>2</v>
      </c>
      <c r="J10" s="8">
        <v>1</v>
      </c>
      <c r="K10" s="8">
        <v>0</v>
      </c>
      <c r="L10" s="8">
        <v>0</v>
      </c>
      <c r="M10" s="8">
        <v>0</v>
      </c>
      <c r="N10" s="8">
        <v>0</v>
      </c>
      <c r="Q10" s="7" t="s">
        <v>85</v>
      </c>
      <c r="R10" s="7">
        <f>LOOKUP(F17,K9:N9,K8:N8)</f>
        <v>4</v>
      </c>
      <c r="S10" s="7">
        <f>R10+1</f>
        <v>5</v>
      </c>
      <c r="U10" s="7" t="s">
        <v>90</v>
      </c>
      <c r="V10" s="7" t="s">
        <v>91</v>
      </c>
      <c r="Z10" s="7" t="s">
        <v>93</v>
      </c>
      <c r="AA10" s="108">
        <v>1</v>
      </c>
      <c r="AB10" s="108"/>
      <c r="AC10" s="7">
        <v>2</v>
      </c>
      <c r="AD10" s="7">
        <v>3</v>
      </c>
      <c r="AE10" s="7">
        <v>4</v>
      </c>
      <c r="AI10" s="7" t="s">
        <v>86</v>
      </c>
      <c r="AJ10" s="7" t="s">
        <v>87</v>
      </c>
    </row>
    <row r="11" spans="2:36" ht="15.75">
      <c r="B11" s="90" t="s">
        <v>10</v>
      </c>
      <c r="C11" s="90"/>
      <c r="D11" s="90"/>
      <c r="E11" s="3" t="s">
        <v>50</v>
      </c>
      <c r="F11" s="21">
        <v>0.25</v>
      </c>
      <c r="H11" s="7"/>
      <c r="I11" s="7">
        <v>3</v>
      </c>
      <c r="J11" s="8">
        <v>3</v>
      </c>
      <c r="K11" s="8">
        <v>0.03</v>
      </c>
      <c r="L11" s="8">
        <v>0.06</v>
      </c>
      <c r="M11" s="8">
        <v>0.1</v>
      </c>
      <c r="N11" s="8">
        <v>0.17</v>
      </c>
      <c r="O11" s="7" t="s">
        <v>88</v>
      </c>
      <c r="P11" s="7">
        <f>LOOKUP(Q11,I9:I38,J9:J38)</f>
        <v>1000</v>
      </c>
      <c r="Q11" s="7">
        <f>LOOKUP(F23,J9:J38,I9:I38)</f>
        <v>14</v>
      </c>
      <c r="R11" s="7">
        <f>HLOOKUP(R9,J9:N38,Q11)</f>
        <v>1.5</v>
      </c>
      <c r="S11" s="7">
        <f>HLOOKUP(S9,J9:N38,Q11)</f>
        <v>1.8</v>
      </c>
      <c r="U11" s="7">
        <f>IF(F17=150,R11,(((S11-R11)/(S9-R9))*(F17-R9))+R11)</f>
        <v>1.65</v>
      </c>
      <c r="Z11" s="7">
        <v>1</v>
      </c>
      <c r="AA11" s="77" t="s">
        <v>62</v>
      </c>
      <c r="AB11" s="78"/>
      <c r="AC11" s="8">
        <v>50</v>
      </c>
      <c r="AD11" s="8">
        <v>100</v>
      </c>
      <c r="AE11" s="8">
        <v>150</v>
      </c>
      <c r="AI11" s="7">
        <f>LOOKUP(AI12,AA10:AE10,AA11:AE11)</f>
        <v>100</v>
      </c>
      <c r="AJ11" s="7">
        <f>LOOKUP(AJ12,AA10:AE10,AA11:AE11)</f>
        <v>150</v>
      </c>
    </row>
    <row r="12" spans="2:39" ht="15.75">
      <c r="B12" s="90" t="s">
        <v>35</v>
      </c>
      <c r="C12" s="90"/>
      <c r="D12" s="90"/>
      <c r="E12" s="3"/>
      <c r="F12" s="21" t="s">
        <v>112</v>
      </c>
      <c r="H12" s="7"/>
      <c r="I12" s="7">
        <v>4</v>
      </c>
      <c r="J12" s="8">
        <v>5</v>
      </c>
      <c r="K12" s="8">
        <v>0.04</v>
      </c>
      <c r="L12" s="8">
        <v>0.09</v>
      </c>
      <c r="M12" s="8">
        <v>0.16</v>
      </c>
      <c r="N12" s="8">
        <v>0.26</v>
      </c>
      <c r="O12" s="7" t="s">
        <v>89</v>
      </c>
      <c r="P12" s="7">
        <f>LOOKUP(Q12,I9:I38,J9:J38)</f>
        <v>3000</v>
      </c>
      <c r="Q12" s="7">
        <f>Q11+1</f>
        <v>15</v>
      </c>
      <c r="R12" s="7">
        <f>HLOOKUP(R9,J9:N38,Q12)</f>
        <v>1.8</v>
      </c>
      <c r="S12" s="7">
        <f>HLOOKUP(S9,J9:N38,Q12)</f>
        <v>2.3</v>
      </c>
      <c r="U12" s="7">
        <f>IF(F17=150,R12,(((S12-R12)/(S9-R9))*(F17-R9))+R12)</f>
        <v>2.05</v>
      </c>
      <c r="V12" s="7">
        <f>(((U12-U11)/(P12-P11))*(F23-P11))+U11</f>
        <v>2.005</v>
      </c>
      <c r="Z12" s="7">
        <v>2</v>
      </c>
      <c r="AA12" s="77">
        <v>0.5</v>
      </c>
      <c r="AB12" s="78"/>
      <c r="AC12" s="8">
        <v>1.5</v>
      </c>
      <c r="AD12" s="8">
        <v>0.4</v>
      </c>
      <c r="AE12" s="8">
        <v>0.73</v>
      </c>
      <c r="AH12" s="7" t="s">
        <v>85</v>
      </c>
      <c r="AI12" s="7">
        <f>LOOKUP($F$17,AB11:AE11,AB10:AE10)</f>
        <v>3</v>
      </c>
      <c r="AJ12" s="7">
        <f>AI12+1</f>
        <v>4</v>
      </c>
      <c r="AL12" s="7" t="s">
        <v>90</v>
      </c>
      <c r="AM12" s="7" t="s">
        <v>91</v>
      </c>
    </row>
    <row r="13" spans="2:38" ht="15.75">
      <c r="B13" s="90" t="s">
        <v>36</v>
      </c>
      <c r="C13" s="90"/>
      <c r="D13" s="90"/>
      <c r="E13" s="3" t="s">
        <v>56</v>
      </c>
      <c r="F13" s="21">
        <v>0.02</v>
      </c>
      <c r="H13" s="7"/>
      <c r="I13" s="7">
        <v>5</v>
      </c>
      <c r="J13" s="8">
        <v>8</v>
      </c>
      <c r="K13" s="8">
        <v>0.05</v>
      </c>
      <c r="L13" s="8">
        <v>0.12</v>
      </c>
      <c r="M13" s="8">
        <v>0.22</v>
      </c>
      <c r="N13" s="8">
        <v>0.34</v>
      </c>
      <c r="Z13" s="7">
        <v>3</v>
      </c>
      <c r="AA13" s="77">
        <v>1</v>
      </c>
      <c r="AB13" s="78"/>
      <c r="AC13" s="8">
        <v>3.1</v>
      </c>
      <c r="AD13" s="8">
        <v>0.86</v>
      </c>
      <c r="AE13" s="8">
        <v>1.5</v>
      </c>
      <c r="AF13" s="7" t="s">
        <v>92</v>
      </c>
      <c r="AG13" s="7">
        <f>LOOKUP(AH13,Z11:Z40,AA11:AA40)</f>
        <v>2</v>
      </c>
      <c r="AH13" s="7">
        <f>LOOKUP($F$25,AA12:AB16,Z12:Z16)</f>
        <v>4</v>
      </c>
      <c r="AI13" s="7">
        <f>HLOOKUP(AI11,AA11:AE40,AH13)</f>
        <v>1.7</v>
      </c>
      <c r="AJ13" s="7">
        <f>HLOOKUP(AJ11,AA11:AE40,AH13)</f>
        <v>3.3</v>
      </c>
      <c r="AL13" s="7">
        <f>IF($F$17=150,AI13,(((AJ13-AI13)/(AJ11-AI11))*($F$17-AI11))+AI13)</f>
        <v>2.5</v>
      </c>
    </row>
    <row r="14" spans="2:39" ht="15" customHeight="1">
      <c r="B14" s="70"/>
      <c r="C14" s="70"/>
      <c r="D14" s="70"/>
      <c r="E14" s="70"/>
      <c r="F14" s="70"/>
      <c r="H14" s="7"/>
      <c r="I14" s="7">
        <v>6</v>
      </c>
      <c r="J14" s="8">
        <v>10</v>
      </c>
      <c r="K14" s="8">
        <v>0.09</v>
      </c>
      <c r="L14" s="8">
        <v>0.14</v>
      </c>
      <c r="M14" s="8">
        <v>0.26</v>
      </c>
      <c r="N14" s="8">
        <v>0.38</v>
      </c>
      <c r="Z14" s="7">
        <v>4</v>
      </c>
      <c r="AA14" s="77">
        <v>2</v>
      </c>
      <c r="AB14" s="78"/>
      <c r="AC14" s="9">
        <v>6.1</v>
      </c>
      <c r="AD14" s="8">
        <v>1.7</v>
      </c>
      <c r="AE14" s="8">
        <v>3.3</v>
      </c>
      <c r="AF14" s="7" t="s">
        <v>94</v>
      </c>
      <c r="AG14" s="7">
        <f>LOOKUP(AH14,Z11:Z40,AA11:AA40)</f>
        <v>3</v>
      </c>
      <c r="AH14" s="7">
        <f>AH13+1</f>
        <v>5</v>
      </c>
      <c r="AI14" s="7">
        <f>HLOOKUP(AI11,AA11:AE40,AH14)</f>
        <v>2.4</v>
      </c>
      <c r="AJ14" s="7">
        <f>HLOOKUP(AJ11,AA11:AE40,AH14)</f>
        <v>5.1</v>
      </c>
      <c r="AL14" s="7">
        <f>IF($F$17=150,AI14,(((AJ14-AI14)/(AJ11-AI11))*($F$17-AI11))+AI14)</f>
        <v>3.75</v>
      </c>
      <c r="AM14" s="7">
        <f>(((AL14-AL13)/(AG14-AG13))*($F$25-AG13))+AL13</f>
        <v>2.5062499999999996</v>
      </c>
    </row>
    <row r="15" spans="2:31" ht="15.75">
      <c r="B15" s="92" t="s">
        <v>37</v>
      </c>
      <c r="C15" s="92"/>
      <c r="D15" s="92"/>
      <c r="E15" s="89"/>
      <c r="F15" s="89"/>
      <c r="H15" s="7"/>
      <c r="I15" s="7">
        <v>7</v>
      </c>
      <c r="J15" s="8">
        <v>30</v>
      </c>
      <c r="K15" s="8">
        <v>0.1</v>
      </c>
      <c r="L15" s="8">
        <v>0.25</v>
      </c>
      <c r="M15" s="8">
        <v>0.45</v>
      </c>
      <c r="N15" s="8">
        <v>0.62</v>
      </c>
      <c r="Z15" s="7">
        <v>5</v>
      </c>
      <c r="AA15" s="77">
        <v>3</v>
      </c>
      <c r="AB15" s="78"/>
      <c r="AC15" s="9">
        <v>8.6</v>
      </c>
      <c r="AD15" s="8">
        <v>2.4</v>
      </c>
      <c r="AE15" s="8">
        <v>5.1</v>
      </c>
    </row>
    <row r="16" spans="2:38" ht="15.75">
      <c r="B16" s="90" t="s">
        <v>40</v>
      </c>
      <c r="C16" s="90"/>
      <c r="D16" s="90"/>
      <c r="E16" s="3" t="s">
        <v>51</v>
      </c>
      <c r="F16" s="20">
        <v>80</v>
      </c>
      <c r="H16" s="7"/>
      <c r="I16" s="7">
        <v>8</v>
      </c>
      <c r="J16" s="8">
        <v>50</v>
      </c>
      <c r="K16" s="8">
        <v>0.13</v>
      </c>
      <c r="L16" s="8">
        <v>0.31</v>
      </c>
      <c r="M16" s="8">
        <v>0.59</v>
      </c>
      <c r="N16" s="8">
        <v>0.8</v>
      </c>
      <c r="Z16" s="7">
        <v>6</v>
      </c>
      <c r="AA16" s="77">
        <v>4</v>
      </c>
      <c r="AB16" s="78"/>
      <c r="AC16" s="9">
        <v>10.7</v>
      </c>
      <c r="AD16" s="8">
        <v>3</v>
      </c>
      <c r="AE16" s="8">
        <v>6.7</v>
      </c>
      <c r="AG16" s="10"/>
      <c r="AH16" s="10"/>
      <c r="AI16" s="10"/>
      <c r="AJ16" s="10"/>
      <c r="AK16" s="10"/>
      <c r="AL16" s="10"/>
    </row>
    <row r="17" spans="2:14" ht="15.75">
      <c r="B17" s="90" t="s">
        <v>41</v>
      </c>
      <c r="C17" s="90"/>
      <c r="D17" s="90"/>
      <c r="E17" s="3" t="s">
        <v>52</v>
      </c>
      <c r="F17" s="21">
        <v>125</v>
      </c>
      <c r="H17" s="7"/>
      <c r="I17" s="7">
        <v>9</v>
      </c>
      <c r="J17" s="8">
        <v>80</v>
      </c>
      <c r="K17" s="8">
        <v>0.15</v>
      </c>
      <c r="L17" s="8">
        <v>0.38</v>
      </c>
      <c r="M17" s="8">
        <v>0.71</v>
      </c>
      <c r="N17" s="8">
        <v>0.9</v>
      </c>
    </row>
    <row r="18" spans="2:27" ht="18.75">
      <c r="B18" s="90" t="s">
        <v>42</v>
      </c>
      <c r="C18" s="90"/>
      <c r="D18" s="90"/>
      <c r="E18" s="22" t="s">
        <v>53</v>
      </c>
      <c r="F18" s="23">
        <f>IF(F17=150,U4,(((Z5-Y5)/(Z4-Y4))*(F17-Y4))+Y5)</f>
        <v>11.1</v>
      </c>
      <c r="H18" s="7"/>
      <c r="I18" s="7">
        <v>10</v>
      </c>
      <c r="J18" s="8">
        <v>100</v>
      </c>
      <c r="K18" s="8">
        <v>0.16</v>
      </c>
      <c r="L18" s="8">
        <v>0.41</v>
      </c>
      <c r="M18" s="8">
        <v>0.8</v>
      </c>
      <c r="N18" s="8">
        <v>1</v>
      </c>
      <c r="AA18" s="7" t="s">
        <v>65</v>
      </c>
    </row>
    <row r="19" spans="2:14" ht="13.5" customHeight="1">
      <c r="B19" s="89"/>
      <c r="C19" s="89"/>
      <c r="D19" s="89"/>
      <c r="E19" s="89"/>
      <c r="F19" s="89"/>
      <c r="H19" s="7"/>
      <c r="I19" s="7">
        <v>11</v>
      </c>
      <c r="J19" s="8">
        <v>300</v>
      </c>
      <c r="K19" s="8">
        <v>0.25</v>
      </c>
      <c r="L19" s="8">
        <v>0.6</v>
      </c>
      <c r="M19" s="8">
        <v>1.1</v>
      </c>
      <c r="N19" s="8">
        <v>1.4</v>
      </c>
    </row>
    <row r="20" spans="2:27" ht="15.75">
      <c r="B20" s="92" t="s">
        <v>43</v>
      </c>
      <c r="C20" s="92"/>
      <c r="D20" s="92"/>
      <c r="E20" s="89"/>
      <c r="F20" s="89"/>
      <c r="H20" s="7"/>
      <c r="I20" s="7">
        <v>12</v>
      </c>
      <c r="J20" s="8">
        <v>500</v>
      </c>
      <c r="K20" s="8">
        <v>0.3</v>
      </c>
      <c r="L20" s="8">
        <v>0.7</v>
      </c>
      <c r="M20" s="8">
        <v>1.25</v>
      </c>
      <c r="N20" s="8">
        <v>1.6</v>
      </c>
      <c r="AA20" s="7" t="s">
        <v>63</v>
      </c>
    </row>
    <row r="21" spans="2:36" ht="15.75">
      <c r="B21" s="90" t="s">
        <v>44</v>
      </c>
      <c r="C21" s="90"/>
      <c r="D21" s="90"/>
      <c r="E21" s="3" t="s">
        <v>54</v>
      </c>
      <c r="F21" s="20">
        <v>2</v>
      </c>
      <c r="H21" s="7"/>
      <c r="I21" s="7">
        <v>13</v>
      </c>
      <c r="J21" s="8">
        <v>800</v>
      </c>
      <c r="K21" s="8">
        <v>0.35</v>
      </c>
      <c r="L21" s="8">
        <v>0.75</v>
      </c>
      <c r="M21" s="8">
        <v>1.45</v>
      </c>
      <c r="N21" s="8">
        <v>1.75</v>
      </c>
      <c r="Z21" s="7" t="s">
        <v>93</v>
      </c>
      <c r="AA21" s="108">
        <v>1</v>
      </c>
      <c r="AB21" s="108"/>
      <c r="AC21" s="7">
        <v>2</v>
      </c>
      <c r="AD21" s="7">
        <v>3</v>
      </c>
      <c r="AE21" s="7">
        <v>4</v>
      </c>
      <c r="AI21" s="7" t="s">
        <v>86</v>
      </c>
      <c r="AJ21" s="7" t="s">
        <v>87</v>
      </c>
    </row>
    <row r="22" spans="2:36" ht="13.5" customHeight="1">
      <c r="B22" s="89"/>
      <c r="C22" s="89"/>
      <c r="D22" s="89"/>
      <c r="E22" s="89"/>
      <c r="F22" s="89"/>
      <c r="H22" s="7"/>
      <c r="I22" s="7">
        <v>14</v>
      </c>
      <c r="J22" s="8">
        <v>1000</v>
      </c>
      <c r="K22" s="8">
        <v>0.4</v>
      </c>
      <c r="L22" s="8">
        <v>0.8</v>
      </c>
      <c r="M22" s="8">
        <v>1.5</v>
      </c>
      <c r="N22" s="8">
        <v>1.8</v>
      </c>
      <c r="Z22" s="7">
        <v>1</v>
      </c>
      <c r="AA22" s="107" t="s">
        <v>62</v>
      </c>
      <c r="AB22" s="107"/>
      <c r="AC22" s="8">
        <v>50</v>
      </c>
      <c r="AD22" s="8">
        <v>100</v>
      </c>
      <c r="AE22" s="8">
        <v>150</v>
      </c>
      <c r="AI22" s="7">
        <f>LOOKUP(AI23,AA21:AE21,AA22:AE22)</f>
        <v>100</v>
      </c>
      <c r="AJ22" s="7">
        <f>LOOKUP(AJ23,AA21:AE21,AA22:AE22)</f>
        <v>150</v>
      </c>
    </row>
    <row r="23" spans="2:39" ht="15.75">
      <c r="B23" s="91" t="s">
        <v>45</v>
      </c>
      <c r="C23" s="91"/>
      <c r="D23" s="91"/>
      <c r="E23" s="25" t="s">
        <v>55</v>
      </c>
      <c r="F23" s="26">
        <f>IF((F18*F16*F10*F11/(F21^2*F13))&lt;1,1,(F18*F16*F10*F11/(F21^2*F13)))</f>
        <v>2775</v>
      </c>
      <c r="H23" s="7"/>
      <c r="I23" s="7">
        <v>15</v>
      </c>
      <c r="J23" s="8">
        <v>3000</v>
      </c>
      <c r="K23" s="8">
        <v>0.45</v>
      </c>
      <c r="L23" s="8">
        <v>1.1</v>
      </c>
      <c r="M23" s="8">
        <v>1.8</v>
      </c>
      <c r="N23" s="8">
        <v>2.3</v>
      </c>
      <c r="Z23" s="7">
        <v>2</v>
      </c>
      <c r="AA23" s="107">
        <v>0.5</v>
      </c>
      <c r="AB23" s="107"/>
      <c r="AC23" s="8">
        <v>6.2</v>
      </c>
      <c r="AD23" s="8">
        <v>4.4</v>
      </c>
      <c r="AE23" s="8">
        <v>6</v>
      </c>
      <c r="AH23" s="7" t="s">
        <v>85</v>
      </c>
      <c r="AI23" s="7">
        <f>LOOKUP($F$17,AB22:AE22,AB21:AE21)</f>
        <v>3</v>
      </c>
      <c r="AJ23" s="7">
        <f>AI23+1</f>
        <v>4</v>
      </c>
      <c r="AL23" s="7" t="s">
        <v>90</v>
      </c>
      <c r="AM23" s="7" t="s">
        <v>91</v>
      </c>
    </row>
    <row r="24" spans="2:38" ht="60" customHeight="1">
      <c r="B24" s="89"/>
      <c r="C24" s="89"/>
      <c r="D24" s="89"/>
      <c r="E24" s="89"/>
      <c r="F24" s="89"/>
      <c r="H24" s="7"/>
      <c r="I24" s="7">
        <v>16</v>
      </c>
      <c r="J24" s="8">
        <v>5000</v>
      </c>
      <c r="K24" s="8">
        <v>0.48</v>
      </c>
      <c r="L24" s="8">
        <v>1.2</v>
      </c>
      <c r="M24" s="8">
        <v>2.2</v>
      </c>
      <c r="N24" s="8">
        <v>2.5</v>
      </c>
      <c r="Z24" s="7">
        <v>3</v>
      </c>
      <c r="AA24" s="107">
        <v>1</v>
      </c>
      <c r="AB24" s="107"/>
      <c r="AC24" s="8">
        <v>13</v>
      </c>
      <c r="AD24" s="8">
        <v>8</v>
      </c>
      <c r="AE24" s="8">
        <v>10.5</v>
      </c>
      <c r="AF24" s="7" t="s">
        <v>92</v>
      </c>
      <c r="AG24" s="7">
        <f>LOOKUP(AH24,Z22:Z51,AA22:AA51)</f>
        <v>2</v>
      </c>
      <c r="AH24" s="7">
        <f>LOOKUP($F$25,AA23:AB27,Z23:Z27)</f>
        <v>4</v>
      </c>
      <c r="AI24" s="7">
        <f>HLOOKUP(AI22,AA22:AE51,AH24)</f>
        <v>14</v>
      </c>
      <c r="AJ24" s="7">
        <f>HLOOKUP(AJ22,AA22:AE51,AH24)</f>
        <v>18</v>
      </c>
      <c r="AL24" s="7">
        <f>IF($F$17=150,AI24,(((AJ24-AI24)/(AJ22-AI22))*($F$17-AI22))+AI24)</f>
        <v>16</v>
      </c>
    </row>
    <row r="25" spans="2:42" ht="18.75">
      <c r="B25" s="86" t="s">
        <v>46</v>
      </c>
      <c r="C25" s="86"/>
      <c r="D25" s="86"/>
      <c r="E25" s="86"/>
      <c r="F25" s="29">
        <f>V12</f>
        <v>2.005</v>
      </c>
      <c r="H25" s="7"/>
      <c r="I25" s="7">
        <v>17</v>
      </c>
      <c r="J25" s="8">
        <v>8000</v>
      </c>
      <c r="K25" s="8">
        <v>0.49</v>
      </c>
      <c r="L25" s="8">
        <v>1.3</v>
      </c>
      <c r="M25" s="8">
        <v>2.3</v>
      </c>
      <c r="N25" s="8">
        <v>2.7</v>
      </c>
      <c r="Z25" s="7">
        <v>4</v>
      </c>
      <c r="AA25" s="107">
        <v>2</v>
      </c>
      <c r="AB25" s="107"/>
      <c r="AC25" s="9">
        <v>23</v>
      </c>
      <c r="AD25" s="8">
        <v>14</v>
      </c>
      <c r="AE25" s="8">
        <v>18</v>
      </c>
      <c r="AF25" s="7" t="s">
        <v>94</v>
      </c>
      <c r="AG25" s="7">
        <f>LOOKUP(AH25,Z22:Z51,AA22:AA51)</f>
        <v>3</v>
      </c>
      <c r="AH25" s="7">
        <f>AH24+1</f>
        <v>5</v>
      </c>
      <c r="AI25" s="7">
        <f>HLOOKUP(AI22,AA22:AE51,AH25)</f>
        <v>19</v>
      </c>
      <c r="AJ25" s="7">
        <f>HLOOKUP(AJ22,AA22:AE51,AH25)</f>
        <v>25</v>
      </c>
      <c r="AL25" s="7">
        <f>IF($F$17=150,AI25,(((AJ25-AI25)/(AJ22-AI22))*($F$17-AI22))+AI25)</f>
        <v>22</v>
      </c>
      <c r="AM25" s="7">
        <f>(((AL25-AL24)/(AG25-AG24))*($F$25-AG24))+AL24</f>
        <v>16.03</v>
      </c>
      <c r="AP25" s="31"/>
    </row>
    <row r="26" spans="2:31" ht="30" customHeight="1">
      <c r="B26" s="87" t="s">
        <v>108</v>
      </c>
      <c r="C26" s="87"/>
      <c r="D26" s="87"/>
      <c r="E26" s="87"/>
      <c r="F26" s="87"/>
      <c r="G26" s="87"/>
      <c r="H26" s="7"/>
      <c r="I26" s="7">
        <v>18</v>
      </c>
      <c r="J26" s="8">
        <v>10000</v>
      </c>
      <c r="K26" s="8">
        <v>0.5</v>
      </c>
      <c r="L26" s="8">
        <v>1.35</v>
      </c>
      <c r="M26" s="8">
        <v>2.4</v>
      </c>
      <c r="N26" s="8">
        <v>2.8</v>
      </c>
      <c r="Z26" s="7">
        <v>5</v>
      </c>
      <c r="AA26" s="107">
        <v>3</v>
      </c>
      <c r="AB26" s="107"/>
      <c r="AC26" s="9">
        <v>31</v>
      </c>
      <c r="AD26" s="8">
        <v>19</v>
      </c>
      <c r="AE26" s="8">
        <v>25</v>
      </c>
    </row>
    <row r="27" spans="2:31" ht="18.75">
      <c r="B27" s="88" t="s">
        <v>123</v>
      </c>
      <c r="C27" s="88"/>
      <c r="D27" s="88"/>
      <c r="E27" s="88"/>
      <c r="F27" s="37">
        <f>IF(OR($F$25&lt;0.5,$F$25&gt;4),"",AM14)</f>
        <v>2.5062499999999996</v>
      </c>
      <c r="H27" s="7"/>
      <c r="I27" s="7">
        <v>19</v>
      </c>
      <c r="J27" s="8">
        <v>30000</v>
      </c>
      <c r="K27" s="8">
        <v>0.6</v>
      </c>
      <c r="L27" s="8">
        <v>1.5</v>
      </c>
      <c r="M27" s="8">
        <v>2.75</v>
      </c>
      <c r="N27" s="8">
        <v>3.25</v>
      </c>
      <c r="Z27" s="7">
        <v>6</v>
      </c>
      <c r="AA27" s="107">
        <v>4</v>
      </c>
      <c r="AB27" s="107"/>
      <c r="AC27" s="9">
        <v>39</v>
      </c>
      <c r="AD27" s="8">
        <v>24</v>
      </c>
      <c r="AE27" s="8">
        <v>30</v>
      </c>
    </row>
    <row r="28" spans="2:14" ht="18.75">
      <c r="B28" s="88" t="s">
        <v>124</v>
      </c>
      <c r="C28" s="88"/>
      <c r="D28" s="88"/>
      <c r="E28" s="88"/>
      <c r="F28" s="37">
        <f>IF(OR($F$25&lt;0.5,$F$25&gt;4),"",AM25)</f>
        <v>16.03</v>
      </c>
      <c r="H28" s="7"/>
      <c r="I28" s="7">
        <v>20</v>
      </c>
      <c r="J28" s="8">
        <v>50000</v>
      </c>
      <c r="K28" s="8">
        <v>0.65</v>
      </c>
      <c r="L28" s="8">
        <v>1.6</v>
      </c>
      <c r="M28" s="8">
        <v>3</v>
      </c>
      <c r="N28" s="8">
        <v>3.5</v>
      </c>
    </row>
    <row r="29" spans="2:27" ht="18.75">
      <c r="B29" s="88" t="s">
        <v>111</v>
      </c>
      <c r="C29" s="88"/>
      <c r="D29" s="88"/>
      <c r="E29" s="88"/>
      <c r="F29" s="37">
        <f>IF(OR($F$25&lt;0.5,$F$25&gt;4),"",AM35)</f>
        <v>22.78625</v>
      </c>
      <c r="H29" s="7"/>
      <c r="I29" s="7">
        <v>21</v>
      </c>
      <c r="J29" s="8">
        <v>80000</v>
      </c>
      <c r="K29" s="8">
        <v>0.69</v>
      </c>
      <c r="L29" s="8">
        <v>1.65</v>
      </c>
      <c r="M29" s="8">
        <v>3.1</v>
      </c>
      <c r="N29" s="8">
        <v>3.6</v>
      </c>
      <c r="AA29" s="7" t="s">
        <v>65</v>
      </c>
    </row>
    <row r="30" spans="2:27" ht="15.75">
      <c r="B30" s="24"/>
      <c r="C30" s="24"/>
      <c r="D30" s="24"/>
      <c r="E30" s="24"/>
      <c r="F30" s="24"/>
      <c r="H30" s="7"/>
      <c r="I30" s="7">
        <v>22</v>
      </c>
      <c r="J30" s="8">
        <v>100000</v>
      </c>
      <c r="K30" s="8">
        <v>0.7</v>
      </c>
      <c r="L30" s="8">
        <v>1.7</v>
      </c>
      <c r="M30" s="8">
        <v>3.2</v>
      </c>
      <c r="N30" s="8">
        <v>3.7</v>
      </c>
      <c r="AA30" s="7" t="s">
        <v>64</v>
      </c>
    </row>
    <row r="31" spans="8:36" ht="15.75">
      <c r="H31" s="7"/>
      <c r="I31" s="7">
        <v>23</v>
      </c>
      <c r="J31" s="8">
        <v>300000</v>
      </c>
      <c r="K31" s="8">
        <v>0.8</v>
      </c>
      <c r="L31" s="8">
        <v>2</v>
      </c>
      <c r="M31" s="8">
        <v>3.55</v>
      </c>
      <c r="N31" s="8">
        <v>4.2</v>
      </c>
      <c r="Z31" s="7" t="s">
        <v>93</v>
      </c>
      <c r="AA31" s="108">
        <v>1</v>
      </c>
      <c r="AB31" s="108"/>
      <c r="AC31" s="7">
        <v>2</v>
      </c>
      <c r="AD31" s="7">
        <v>3</v>
      </c>
      <c r="AE31" s="7">
        <v>4</v>
      </c>
      <c r="AI31" s="7" t="s">
        <v>86</v>
      </c>
      <c r="AJ31" s="7" t="s">
        <v>87</v>
      </c>
    </row>
    <row r="32" spans="8:36" ht="15.75">
      <c r="H32" s="7"/>
      <c r="I32" s="7">
        <v>24</v>
      </c>
      <c r="J32" s="8">
        <v>500000</v>
      </c>
      <c r="K32" s="8">
        <v>0.85</v>
      </c>
      <c r="L32" s="8">
        <v>2.15</v>
      </c>
      <c r="M32" s="8">
        <v>3.7</v>
      </c>
      <c r="N32" s="8">
        <v>4.4</v>
      </c>
      <c r="Z32" s="7">
        <v>1</v>
      </c>
      <c r="AA32" s="107" t="s">
        <v>62</v>
      </c>
      <c r="AB32" s="107"/>
      <c r="AC32" s="8">
        <v>50</v>
      </c>
      <c r="AD32" s="8">
        <v>100</v>
      </c>
      <c r="AE32" s="8">
        <v>150</v>
      </c>
      <c r="AI32" s="7">
        <f>LOOKUP(AI33,AA31:AE31,AA32:AE32)</f>
        <v>100</v>
      </c>
      <c r="AJ32" s="7">
        <f>LOOKUP(AJ33,AA31:AE31,AA32:AE32)</f>
        <v>150</v>
      </c>
    </row>
    <row r="33" spans="8:39" ht="15.75">
      <c r="H33" s="7"/>
      <c r="I33" s="7">
        <v>25</v>
      </c>
      <c r="J33" s="8">
        <v>800000</v>
      </c>
      <c r="K33" s="8">
        <v>0.89</v>
      </c>
      <c r="L33" s="8">
        <v>2.25</v>
      </c>
      <c r="M33" s="8">
        <v>3.9</v>
      </c>
      <c r="N33" s="8">
        <v>4.55</v>
      </c>
      <c r="Z33" s="7">
        <v>2</v>
      </c>
      <c r="AA33" s="107">
        <v>0.5</v>
      </c>
      <c r="AB33" s="107"/>
      <c r="AC33" s="8">
        <v>10</v>
      </c>
      <c r="AD33" s="8">
        <v>7</v>
      </c>
      <c r="AE33" s="8">
        <v>8.4</v>
      </c>
      <c r="AH33" s="7" t="s">
        <v>85</v>
      </c>
      <c r="AI33" s="7">
        <f>LOOKUP($F$17,AB32:AE32,AB31:AE31)</f>
        <v>3</v>
      </c>
      <c r="AJ33" s="7">
        <f>AI33+1</f>
        <v>4</v>
      </c>
      <c r="AL33" s="7" t="s">
        <v>90</v>
      </c>
      <c r="AM33" s="7" t="s">
        <v>91</v>
      </c>
    </row>
    <row r="34" spans="8:38" ht="15.75">
      <c r="H34" s="7"/>
      <c r="I34" s="7">
        <v>26</v>
      </c>
      <c r="J34" s="8">
        <v>1000000</v>
      </c>
      <c r="K34" s="8">
        <v>0.9</v>
      </c>
      <c r="L34" s="8">
        <v>2.3</v>
      </c>
      <c r="M34" s="8">
        <v>4</v>
      </c>
      <c r="N34" s="8">
        <v>4.7</v>
      </c>
      <c r="Z34" s="7">
        <v>3</v>
      </c>
      <c r="AA34" s="107">
        <v>1</v>
      </c>
      <c r="AB34" s="107"/>
      <c r="AC34" s="8">
        <v>20</v>
      </c>
      <c r="AD34" s="8">
        <v>12</v>
      </c>
      <c r="AE34" s="8">
        <v>15</v>
      </c>
      <c r="AF34" s="7" t="s">
        <v>92</v>
      </c>
      <c r="AG34" s="7">
        <f>LOOKUP(AH34,Z32:Z61,AA32:AA61)</f>
        <v>2</v>
      </c>
      <c r="AH34" s="7">
        <f>LOOKUP($F$25,AA33:AB37,Z33:Z37)</f>
        <v>4</v>
      </c>
      <c r="AI34" s="7">
        <f>HLOOKUP(AI32,AA32:AE61,AH34)</f>
        <v>19.5</v>
      </c>
      <c r="AJ34" s="7">
        <f>HLOOKUP(AJ32,AA32:AE61,AH34)</f>
        <v>26</v>
      </c>
      <c r="AL34" s="7">
        <f>IF($F$17=150,AI34,(((AJ34-AI34)/(AJ32-AI32))*($F$17-AI32))+AI34)</f>
        <v>22.75</v>
      </c>
    </row>
    <row r="35" spans="8:39" ht="15.75">
      <c r="H35" s="7"/>
      <c r="I35" s="7">
        <v>27</v>
      </c>
      <c r="J35" s="8">
        <v>3000000</v>
      </c>
      <c r="K35" s="8">
        <v>0.95</v>
      </c>
      <c r="L35" s="8">
        <v>2.5</v>
      </c>
      <c r="M35" s="8">
        <v>4.4</v>
      </c>
      <c r="N35" s="8">
        <v>5.2</v>
      </c>
      <c r="Z35" s="7">
        <v>4</v>
      </c>
      <c r="AA35" s="107">
        <v>2</v>
      </c>
      <c r="AB35" s="107"/>
      <c r="AC35" s="8">
        <v>33</v>
      </c>
      <c r="AD35" s="8">
        <v>19.5</v>
      </c>
      <c r="AE35" s="8">
        <v>26</v>
      </c>
      <c r="AF35" s="7" t="s">
        <v>94</v>
      </c>
      <c r="AG35" s="7">
        <f>LOOKUP(AH35,Z32:Z61,AA32:AA61)</f>
        <v>3</v>
      </c>
      <c r="AH35" s="7">
        <f>AH34+1</f>
        <v>5</v>
      </c>
      <c r="AI35" s="7">
        <f>HLOOKUP(AI32,AA32:AE61,AH35)</f>
        <v>26</v>
      </c>
      <c r="AJ35" s="7">
        <f>HLOOKUP(AJ32,AA32:AE61,AH35)</f>
        <v>34</v>
      </c>
      <c r="AL35" s="7">
        <f>IF($F$17=150,AI35,(((AJ35-AI35)/(AJ32-AI32))*($F$17-AI32))+AI35)</f>
        <v>30</v>
      </c>
      <c r="AM35" s="7">
        <f>(((AL35-AL34)/(AG35-AG34))*($F$25-AG34))+AL34</f>
        <v>22.78625</v>
      </c>
    </row>
    <row r="36" spans="8:31" ht="15.75">
      <c r="H36" s="7"/>
      <c r="I36" s="7">
        <v>28</v>
      </c>
      <c r="J36" s="8">
        <v>5000000</v>
      </c>
      <c r="K36" s="8">
        <v>1</v>
      </c>
      <c r="L36" s="8">
        <v>2.65</v>
      </c>
      <c r="M36" s="8">
        <v>4.6</v>
      </c>
      <c r="N36" s="8">
        <v>5.4</v>
      </c>
      <c r="Z36" s="7">
        <v>5</v>
      </c>
      <c r="AA36" s="107">
        <v>3</v>
      </c>
      <c r="AB36" s="107"/>
      <c r="AC36" s="8">
        <v>44</v>
      </c>
      <c r="AD36" s="8">
        <v>26</v>
      </c>
      <c r="AE36" s="8">
        <v>34</v>
      </c>
    </row>
    <row r="37" spans="8:31" ht="15.75">
      <c r="H37" s="7"/>
      <c r="I37" s="7">
        <v>29</v>
      </c>
      <c r="J37" s="8">
        <v>8000000</v>
      </c>
      <c r="K37" s="8">
        <v>1.05</v>
      </c>
      <c r="L37" s="8">
        <v>2.7</v>
      </c>
      <c r="M37" s="8">
        <v>4.75</v>
      </c>
      <c r="N37" s="8">
        <v>5.5</v>
      </c>
      <c r="Z37" s="7">
        <v>6</v>
      </c>
      <c r="AA37" s="107">
        <v>4</v>
      </c>
      <c r="AB37" s="107"/>
      <c r="AC37" s="8">
        <v>60</v>
      </c>
      <c r="AD37" s="8">
        <v>33</v>
      </c>
      <c r="AE37" s="8">
        <v>42</v>
      </c>
    </row>
    <row r="38" spans="8:14" ht="15.75">
      <c r="H38" s="7"/>
      <c r="I38" s="7">
        <v>30</v>
      </c>
      <c r="J38" s="8">
        <v>10000000</v>
      </c>
      <c r="K38" s="8">
        <v>1.1</v>
      </c>
      <c r="L38" s="8">
        <v>2.8</v>
      </c>
      <c r="M38" s="8">
        <v>4.8</v>
      </c>
      <c r="N38" s="8">
        <v>5.6</v>
      </c>
    </row>
  </sheetData>
  <sheetProtection password="CC3B" sheet="1" objects="1" scenarios="1"/>
  <mergeCells count="52">
    <mergeCell ref="AA22:AB22"/>
    <mergeCell ref="B10:D10"/>
    <mergeCell ref="B11:D11"/>
    <mergeCell ref="B12:D12"/>
    <mergeCell ref="B2:G2"/>
    <mergeCell ref="AA10:AB10"/>
    <mergeCell ref="AA21:AB21"/>
    <mergeCell ref="B17:D17"/>
    <mergeCell ref="B28:E28"/>
    <mergeCell ref="AA27:AB27"/>
    <mergeCell ref="AA31:AB31"/>
    <mergeCell ref="AA16:AB16"/>
    <mergeCell ref="AA23:AB23"/>
    <mergeCell ref="AA24:AB24"/>
    <mergeCell ref="AA25:AB25"/>
    <mergeCell ref="AA26:AB26"/>
    <mergeCell ref="B26:G26"/>
    <mergeCell ref="B23:D23"/>
    <mergeCell ref="B16:D16"/>
    <mergeCell ref="AA15:AB15"/>
    <mergeCell ref="AA37:AB37"/>
    <mergeCell ref="B29:E29"/>
    <mergeCell ref="AA32:AB32"/>
    <mergeCell ref="AA33:AB33"/>
    <mergeCell ref="AA34:AB34"/>
    <mergeCell ref="AA35:AB35"/>
    <mergeCell ref="AA36:AB36"/>
    <mergeCell ref="B27:E27"/>
    <mergeCell ref="AA11:AB11"/>
    <mergeCell ref="B14:F14"/>
    <mergeCell ref="E15:F15"/>
    <mergeCell ref="B15:D15"/>
    <mergeCell ref="AA12:AB12"/>
    <mergeCell ref="AA13:AB13"/>
    <mergeCell ref="AA14:AB14"/>
    <mergeCell ref="B9:D9"/>
    <mergeCell ref="B25:E25"/>
    <mergeCell ref="B24:F24"/>
    <mergeCell ref="B19:F19"/>
    <mergeCell ref="E20:F20"/>
    <mergeCell ref="B22:F22"/>
    <mergeCell ref="B20:D20"/>
    <mergeCell ref="B13:D13"/>
    <mergeCell ref="B21:D21"/>
    <mergeCell ref="B18:D18"/>
    <mergeCell ref="AQ5:AR5"/>
    <mergeCell ref="AQ6:AR6"/>
    <mergeCell ref="AQ4:AR4"/>
    <mergeCell ref="C4:D4"/>
    <mergeCell ref="C5:D5"/>
    <mergeCell ref="F6:G6"/>
    <mergeCell ref="F5:G5"/>
  </mergeCells>
  <printOptions/>
  <pageMargins left="0.36" right="0.25" top="1.05" bottom="1" header="0" footer="0"/>
  <pageSetup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codeName="Hoja6"/>
  <dimension ref="A1:AO51"/>
  <sheetViews>
    <sheetView showGridLines="0" showRowColHeaders="0" zoomScaleSheetLayoutView="100" workbookViewId="0" topLeftCell="A1">
      <selection activeCell="H4" sqref="H4"/>
    </sheetView>
  </sheetViews>
  <sheetFormatPr defaultColWidth="11.00390625" defaultRowHeight="15.75"/>
  <cols>
    <col min="1" max="1" width="4.25390625" style="0" customWidth="1"/>
    <col min="5" max="5" width="8.125" style="0" customWidth="1"/>
    <col min="6" max="6" width="13.125" style="0" customWidth="1"/>
    <col min="8" max="8" width="15.625" style="0" customWidth="1"/>
    <col min="9" max="9" width="8.00390625" style="0" customWidth="1"/>
    <col min="10" max="10" width="6.375" style="0" hidden="1" customWidth="1"/>
    <col min="11" max="11" width="5.625" style="0" hidden="1" customWidth="1"/>
    <col min="12" max="12" width="6.125" style="0" hidden="1" customWidth="1"/>
    <col min="13" max="13" width="4.875" style="0" hidden="1" customWidth="1"/>
    <col min="14" max="14" width="4.75390625" style="0" hidden="1" customWidth="1"/>
    <col min="15" max="15" width="5.625" style="0" hidden="1" customWidth="1"/>
    <col min="16" max="16" width="5.125" style="0" hidden="1" customWidth="1"/>
    <col min="17" max="17" width="5.00390625" style="0" hidden="1" customWidth="1"/>
    <col min="18" max="18" width="7.125" style="0" hidden="1" customWidth="1"/>
    <col min="19" max="19" width="4.75390625" style="0" hidden="1" customWidth="1"/>
    <col min="20" max="20" width="6.75390625" style="0" hidden="1" customWidth="1"/>
    <col min="21" max="21" width="6.375" style="0" hidden="1" customWidth="1"/>
    <col min="22" max="22" width="4.75390625" style="0" hidden="1" customWidth="1"/>
    <col min="23" max="23" width="5.50390625" style="0" hidden="1" customWidth="1"/>
    <col min="24" max="24" width="5.00390625" style="0" hidden="1" customWidth="1"/>
    <col min="25" max="25" width="5.625" style="0" hidden="1" customWidth="1"/>
    <col min="26" max="26" width="7.25390625" style="0" hidden="1" customWidth="1"/>
    <col min="27" max="27" width="7.00390625" style="0" hidden="1" customWidth="1"/>
    <col min="28" max="28" width="6.25390625" style="0" hidden="1" customWidth="1"/>
    <col min="29" max="29" width="6.625" style="0" hidden="1" customWidth="1"/>
    <col min="30" max="30" width="8.25390625" style="0" hidden="1" customWidth="1"/>
    <col min="31" max="31" width="6.375" style="0" hidden="1" customWidth="1"/>
    <col min="32" max="32" width="7.125" style="0" hidden="1" customWidth="1"/>
    <col min="33" max="33" width="5.625" style="0" hidden="1" customWidth="1"/>
    <col min="34" max="34" width="6.125" style="0" hidden="1" customWidth="1"/>
    <col min="35" max="35" width="6.25390625" style="0" hidden="1" customWidth="1"/>
    <col min="36" max="36" width="6.75390625" style="0" hidden="1" customWidth="1"/>
    <col min="37" max="37" width="6.375" style="0" hidden="1" customWidth="1"/>
    <col min="38" max="38" width="6.75390625" style="0" hidden="1" customWidth="1"/>
    <col min="39" max="39" width="3.75390625" style="0" hidden="1" customWidth="1"/>
    <col min="40" max="40" width="6.125" style="0" hidden="1" customWidth="1"/>
    <col min="41" max="41" width="6.50390625" style="0" hidden="1" customWidth="1"/>
    <col min="42" max="43" width="6.375" style="0" hidden="1" customWidth="1"/>
    <col min="44" max="44" width="8.625" style="0" hidden="1" customWidth="1"/>
  </cols>
  <sheetData>
    <row r="1" spans="1:41" ht="30" customHeight="1">
      <c r="A1" s="2"/>
      <c r="J1" s="7"/>
      <c r="K1" s="11"/>
      <c r="L1" s="11" t="s">
        <v>57</v>
      </c>
      <c r="M1" s="11"/>
      <c r="N1" s="11"/>
      <c r="O1" s="11"/>
      <c r="P1" s="11"/>
      <c r="Q1" s="11"/>
      <c r="R1" s="11"/>
      <c r="S1" s="11"/>
      <c r="T1" s="11"/>
      <c r="U1" s="11"/>
      <c r="V1" s="11"/>
      <c r="W1" s="11"/>
      <c r="X1" s="7"/>
      <c r="Y1" s="7"/>
      <c r="Z1" s="7"/>
      <c r="AA1" s="7"/>
      <c r="AB1" s="7"/>
      <c r="AC1" s="7"/>
      <c r="AD1" s="7"/>
      <c r="AE1" s="7"/>
      <c r="AF1" s="7"/>
      <c r="AG1" s="7"/>
      <c r="AH1" s="7"/>
      <c r="AI1" s="7"/>
      <c r="AJ1" s="7"/>
      <c r="AK1" s="7"/>
      <c r="AL1" s="7"/>
      <c r="AM1" s="7"/>
      <c r="AN1" s="7"/>
      <c r="AO1" s="7"/>
    </row>
    <row r="2" spans="1:41" ht="15.75">
      <c r="A2" s="2"/>
      <c r="B2" s="110" t="s">
        <v>66</v>
      </c>
      <c r="C2" s="110"/>
      <c r="D2" s="110"/>
      <c r="E2" s="110"/>
      <c r="F2" s="110"/>
      <c r="G2" s="110"/>
      <c r="J2" s="7"/>
      <c r="K2" s="11" t="s">
        <v>85</v>
      </c>
      <c r="L2" s="11"/>
      <c r="M2" s="11">
        <v>1</v>
      </c>
      <c r="N2" s="11">
        <v>2</v>
      </c>
      <c r="O2" s="11">
        <v>3</v>
      </c>
      <c r="P2" s="11">
        <v>4</v>
      </c>
      <c r="Q2" s="11">
        <v>5</v>
      </c>
      <c r="R2" s="11">
        <v>6</v>
      </c>
      <c r="S2" s="11">
        <v>7</v>
      </c>
      <c r="T2" s="11">
        <v>8</v>
      </c>
      <c r="U2" s="11">
        <v>9</v>
      </c>
      <c r="V2" s="11">
        <v>10</v>
      </c>
      <c r="W2" s="11">
        <v>11</v>
      </c>
      <c r="X2" s="7"/>
      <c r="Y2" s="7"/>
      <c r="Z2" s="7"/>
      <c r="AA2" s="7" t="s">
        <v>86</v>
      </c>
      <c r="AB2" s="7" t="s">
        <v>87</v>
      </c>
      <c r="AC2" s="7"/>
      <c r="AD2" s="7"/>
      <c r="AE2" s="7"/>
      <c r="AF2" s="7"/>
      <c r="AG2" s="7"/>
      <c r="AH2" s="7"/>
      <c r="AI2" s="7"/>
      <c r="AJ2" s="7"/>
      <c r="AK2" s="7"/>
      <c r="AL2" s="7"/>
      <c r="AM2" s="7"/>
      <c r="AN2" s="7"/>
      <c r="AO2" s="7"/>
    </row>
    <row r="3" spans="1:41" ht="15.75">
      <c r="A3" s="2"/>
      <c r="J3" s="7"/>
      <c r="K3" s="11">
        <v>1</v>
      </c>
      <c r="L3" s="12" t="s">
        <v>58</v>
      </c>
      <c r="M3" s="12">
        <v>50</v>
      </c>
      <c r="N3" s="12">
        <v>60</v>
      </c>
      <c r="O3" s="12">
        <v>70</v>
      </c>
      <c r="P3" s="12">
        <v>80</v>
      </c>
      <c r="Q3" s="12">
        <v>90</v>
      </c>
      <c r="R3" s="12">
        <v>100</v>
      </c>
      <c r="S3" s="12">
        <v>110</v>
      </c>
      <c r="T3" s="12">
        <v>120</v>
      </c>
      <c r="U3" s="12">
        <v>130</v>
      </c>
      <c r="V3" s="12">
        <v>140</v>
      </c>
      <c r="W3" s="12">
        <v>150</v>
      </c>
      <c r="X3" s="7"/>
      <c r="Y3" s="7"/>
      <c r="Z3" s="7"/>
      <c r="AA3" s="7">
        <f>LOOKUP(F18,M3:W3,M2:W2)</f>
        <v>8</v>
      </c>
      <c r="AB3" s="7">
        <f>AA3+1</f>
        <v>9</v>
      </c>
      <c r="AC3" s="7"/>
      <c r="AD3" s="7"/>
      <c r="AE3" s="7"/>
      <c r="AF3" s="7"/>
      <c r="AG3" s="7"/>
      <c r="AH3" s="7"/>
      <c r="AI3" s="7"/>
      <c r="AJ3" s="7"/>
      <c r="AK3" s="7"/>
      <c r="AL3" s="7"/>
      <c r="AM3" s="7"/>
      <c r="AN3" s="7"/>
      <c r="AO3" s="7"/>
    </row>
    <row r="4" spans="1:41" ht="15.75">
      <c r="A4" s="2"/>
      <c r="B4" s="34" t="s">
        <v>104</v>
      </c>
      <c r="C4" s="75" t="s">
        <v>116</v>
      </c>
      <c r="D4" s="75"/>
      <c r="F4" s="35" t="s">
        <v>31</v>
      </c>
      <c r="G4" s="35"/>
      <c r="H4" s="38" t="s">
        <v>114</v>
      </c>
      <c r="I4" s="18"/>
      <c r="J4" s="7"/>
      <c r="K4" s="11">
        <v>2</v>
      </c>
      <c r="L4" s="13" t="s">
        <v>53</v>
      </c>
      <c r="M4" s="12">
        <v>1.8</v>
      </c>
      <c r="N4" s="12">
        <v>2.8</v>
      </c>
      <c r="O4" s="12">
        <v>3.8</v>
      </c>
      <c r="P4" s="12">
        <v>5</v>
      </c>
      <c r="Q4" s="12">
        <v>6.2</v>
      </c>
      <c r="R4" s="12">
        <v>7.5</v>
      </c>
      <c r="S4" s="12">
        <v>9</v>
      </c>
      <c r="T4" s="12">
        <v>10.2</v>
      </c>
      <c r="U4" s="12">
        <v>12</v>
      </c>
      <c r="V4" s="12">
        <v>13</v>
      </c>
      <c r="W4" s="12">
        <v>14</v>
      </c>
      <c r="X4" s="7"/>
      <c r="Y4" s="7"/>
      <c r="Z4" s="7"/>
      <c r="AA4" s="7">
        <f>LOOKUP(AA3,M2:W2,M3:W3)</f>
        <v>120</v>
      </c>
      <c r="AB4" s="7">
        <f>LOOKUP(AB3,M2:W2,M3:W3)</f>
        <v>130</v>
      </c>
      <c r="AC4" s="7"/>
      <c r="AD4" s="7"/>
      <c r="AE4" s="7"/>
      <c r="AF4" s="7"/>
      <c r="AG4" s="7"/>
      <c r="AH4" s="7"/>
      <c r="AI4" s="7"/>
      <c r="AJ4" s="7"/>
      <c r="AK4" s="7"/>
      <c r="AL4" s="7"/>
      <c r="AM4" s="7"/>
      <c r="AN4" s="7"/>
      <c r="AO4" s="7"/>
    </row>
    <row r="5" spans="1:41" ht="15.75">
      <c r="A5" s="2"/>
      <c r="B5" s="34" t="s">
        <v>106</v>
      </c>
      <c r="C5" s="76" t="s">
        <v>113</v>
      </c>
      <c r="D5" s="76"/>
      <c r="F5" s="100" t="s">
        <v>32</v>
      </c>
      <c r="G5" s="100"/>
      <c r="H5" s="38" t="s">
        <v>115</v>
      </c>
      <c r="I5" s="19"/>
      <c r="J5" s="7"/>
      <c r="K5" s="7"/>
      <c r="L5" s="7"/>
      <c r="M5" s="7"/>
      <c r="N5" s="7"/>
      <c r="O5" s="7"/>
      <c r="P5" s="7"/>
      <c r="Q5" s="7"/>
      <c r="R5" s="7"/>
      <c r="S5" s="7"/>
      <c r="T5" s="7"/>
      <c r="U5" s="7"/>
      <c r="V5" s="7"/>
      <c r="W5" s="7"/>
      <c r="X5" s="7"/>
      <c r="Y5" s="7"/>
      <c r="Z5" s="7"/>
      <c r="AA5" s="7">
        <f>LOOKUP(AA4,M3:W3,M4:W4)</f>
        <v>10.2</v>
      </c>
      <c r="AB5" s="7">
        <f>LOOKUP(AB4,M3:W3,M4:W4)</f>
        <v>12</v>
      </c>
      <c r="AC5" s="7"/>
      <c r="AD5" s="7"/>
      <c r="AE5" s="7"/>
      <c r="AF5" s="7"/>
      <c r="AG5" s="7"/>
      <c r="AH5" s="7"/>
      <c r="AI5" s="7"/>
      <c r="AJ5" s="7"/>
      <c r="AK5" s="7"/>
      <c r="AL5" s="7"/>
      <c r="AM5" s="7"/>
      <c r="AN5" s="7"/>
      <c r="AO5" s="7"/>
    </row>
    <row r="6" spans="1:41" ht="15.75">
      <c r="A6" s="2"/>
      <c r="B6" s="34" t="s">
        <v>105</v>
      </c>
      <c r="C6" s="41">
        <v>36336</v>
      </c>
      <c r="D6" s="40"/>
      <c r="F6" s="100" t="s">
        <v>33</v>
      </c>
      <c r="G6" s="100"/>
      <c r="H6" s="39" t="s">
        <v>55</v>
      </c>
      <c r="I6" s="19"/>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15.75">
      <c r="A7" s="2"/>
      <c r="B7" s="28"/>
      <c r="J7" s="7"/>
      <c r="K7" s="7"/>
      <c r="L7" s="7" t="s">
        <v>60</v>
      </c>
      <c r="M7" s="7"/>
      <c r="N7" s="7"/>
      <c r="O7" s="7"/>
      <c r="P7" s="7"/>
      <c r="Q7" s="7"/>
      <c r="R7" s="7"/>
      <c r="S7" s="7"/>
      <c r="T7" s="7"/>
      <c r="U7" s="7"/>
      <c r="V7" s="7"/>
      <c r="W7" s="7"/>
      <c r="X7" s="7"/>
      <c r="Y7" s="7"/>
      <c r="Z7" s="7"/>
      <c r="AA7" s="7"/>
      <c r="AB7" s="7"/>
      <c r="AC7" s="7"/>
      <c r="AD7" s="7"/>
      <c r="AE7" s="7"/>
      <c r="AF7" s="7"/>
      <c r="AG7" s="7"/>
      <c r="AH7" s="7"/>
      <c r="AI7" s="7"/>
      <c r="AJ7" s="7"/>
      <c r="AK7" s="7"/>
      <c r="AL7" s="7"/>
      <c r="AM7" s="7"/>
      <c r="AN7" s="7"/>
      <c r="AO7" s="7"/>
    </row>
    <row r="8" spans="1:41" ht="15.75">
      <c r="A8" s="2"/>
      <c r="J8" s="7"/>
      <c r="K8" s="7" t="s">
        <v>85</v>
      </c>
      <c r="L8" s="7">
        <v>1</v>
      </c>
      <c r="M8" s="7">
        <v>2</v>
      </c>
      <c r="N8" s="7">
        <v>3</v>
      </c>
      <c r="O8" s="7">
        <v>4</v>
      </c>
      <c r="P8" s="7">
        <v>5</v>
      </c>
      <c r="Q8" s="7"/>
      <c r="R8" s="7"/>
      <c r="S8" s="7"/>
      <c r="T8" s="7" t="s">
        <v>86</v>
      </c>
      <c r="U8" s="7" t="s">
        <v>87</v>
      </c>
      <c r="V8" s="7"/>
      <c r="W8" s="7"/>
      <c r="X8" s="7"/>
      <c r="Y8" s="7"/>
      <c r="Z8" s="7"/>
      <c r="AA8" s="7"/>
      <c r="AB8" s="7"/>
      <c r="AC8" s="7"/>
      <c r="AD8" s="7"/>
      <c r="AE8" s="7"/>
      <c r="AF8" s="7"/>
      <c r="AG8" s="7"/>
      <c r="AH8" s="7"/>
      <c r="AI8" s="7"/>
      <c r="AJ8" s="7"/>
      <c r="AK8" s="7"/>
      <c r="AL8" s="7"/>
      <c r="AM8" s="7"/>
      <c r="AN8" s="7"/>
      <c r="AO8" s="7"/>
    </row>
    <row r="9" spans="1:41" ht="15.75">
      <c r="A9" s="2"/>
      <c r="B9" s="92" t="s">
        <v>38</v>
      </c>
      <c r="C9" s="92"/>
      <c r="D9" s="92"/>
      <c r="E9" s="16" t="s">
        <v>47</v>
      </c>
      <c r="F9" s="32" t="s">
        <v>67</v>
      </c>
      <c r="G9" s="33" t="s">
        <v>68</v>
      </c>
      <c r="J9" s="7"/>
      <c r="K9" s="7">
        <v>1</v>
      </c>
      <c r="L9" s="8" t="s">
        <v>59</v>
      </c>
      <c r="M9" s="8">
        <v>50</v>
      </c>
      <c r="N9" s="8">
        <v>75</v>
      </c>
      <c r="O9" s="8">
        <v>100</v>
      </c>
      <c r="P9" s="8">
        <v>150</v>
      </c>
      <c r="Q9" s="7"/>
      <c r="R9" s="7"/>
      <c r="S9" s="7"/>
      <c r="T9" s="7">
        <f>LOOKUP(T10,L8:P8,L9:P9)</f>
        <v>100</v>
      </c>
      <c r="U9" s="7">
        <f>LOOKUP(U10,L8:P8,L9:P9)</f>
        <v>150</v>
      </c>
      <c r="V9" s="7"/>
      <c r="W9" s="7"/>
      <c r="X9" s="7"/>
      <c r="Y9" s="7"/>
      <c r="Z9" s="7"/>
      <c r="AA9" s="7"/>
      <c r="AB9" s="7"/>
      <c r="AC9" s="7" t="s">
        <v>61</v>
      </c>
      <c r="AD9" s="7"/>
      <c r="AE9" s="7"/>
      <c r="AF9" s="7"/>
      <c r="AG9" s="7"/>
      <c r="AH9" s="7"/>
      <c r="AI9" s="7"/>
      <c r="AJ9" s="7"/>
      <c r="AK9" s="7"/>
      <c r="AL9" s="7"/>
      <c r="AM9" s="7"/>
      <c r="AN9" s="7"/>
      <c r="AO9" s="7"/>
    </row>
    <row r="10" spans="1:41" ht="15.75">
      <c r="A10" s="2"/>
      <c r="B10" s="90" t="s">
        <v>34</v>
      </c>
      <c r="C10" s="90"/>
      <c r="D10" s="90"/>
      <c r="E10" s="3" t="s">
        <v>49</v>
      </c>
      <c r="F10" s="101">
        <v>1</v>
      </c>
      <c r="G10" s="101"/>
      <c r="J10" s="7"/>
      <c r="K10" s="7">
        <v>2</v>
      </c>
      <c r="L10" s="8">
        <v>1</v>
      </c>
      <c r="M10" s="8">
        <v>0</v>
      </c>
      <c r="N10" s="8">
        <v>0</v>
      </c>
      <c r="O10" s="8">
        <v>0</v>
      </c>
      <c r="P10" s="8">
        <v>0</v>
      </c>
      <c r="Q10" s="7"/>
      <c r="R10" s="7"/>
      <c r="S10" s="7" t="s">
        <v>85</v>
      </c>
      <c r="T10" s="7">
        <f>LOOKUP(F18,M9:P9,M8:P8)</f>
        <v>4</v>
      </c>
      <c r="U10" s="7">
        <f>T10+1</f>
        <v>5</v>
      </c>
      <c r="V10" s="7"/>
      <c r="W10" s="7" t="s">
        <v>90</v>
      </c>
      <c r="X10" s="7" t="s">
        <v>91</v>
      </c>
      <c r="Y10" s="7"/>
      <c r="Z10" s="7"/>
      <c r="AA10" s="7"/>
      <c r="AB10" s="7" t="s">
        <v>93</v>
      </c>
      <c r="AC10" s="108">
        <v>1</v>
      </c>
      <c r="AD10" s="108"/>
      <c r="AE10" s="7">
        <v>2</v>
      </c>
      <c r="AF10" s="7">
        <v>3</v>
      </c>
      <c r="AG10" s="7">
        <v>4</v>
      </c>
      <c r="AH10" s="7"/>
      <c r="AI10" s="7"/>
      <c r="AJ10" s="7"/>
      <c r="AK10" s="7" t="s">
        <v>86</v>
      </c>
      <c r="AL10" s="7" t="s">
        <v>87</v>
      </c>
      <c r="AM10" s="7"/>
      <c r="AN10" s="7"/>
      <c r="AO10" s="7"/>
    </row>
    <row r="11" spans="1:41" ht="15.75">
      <c r="A11" s="2"/>
      <c r="B11" s="90" t="s">
        <v>10</v>
      </c>
      <c r="C11" s="90"/>
      <c r="D11" s="90"/>
      <c r="E11" s="3" t="s">
        <v>50</v>
      </c>
      <c r="F11" s="114">
        <v>1</v>
      </c>
      <c r="G11" s="114"/>
      <c r="J11" s="7"/>
      <c r="K11" s="7">
        <v>3</v>
      </c>
      <c r="L11" s="8">
        <v>3</v>
      </c>
      <c r="M11" s="8">
        <v>0.03</v>
      </c>
      <c r="N11" s="8">
        <v>0.06</v>
      </c>
      <c r="O11" s="8">
        <v>0.1</v>
      </c>
      <c r="P11" s="8">
        <v>0.17</v>
      </c>
      <c r="Q11" s="7" t="s">
        <v>88</v>
      </c>
      <c r="R11" s="7">
        <f>LOOKUP(S11,K9:K38,L9:L38)</f>
        <v>30</v>
      </c>
      <c r="S11" s="7">
        <f>LOOKUP(F32,L9:L38,K9:K38)</f>
        <v>7</v>
      </c>
      <c r="T11" s="7">
        <f>HLOOKUP(T9,L9:P38,S11)</f>
        <v>0.45</v>
      </c>
      <c r="U11" s="7">
        <f>HLOOKUP(U9,L9:P38,S11)</f>
        <v>0.62</v>
      </c>
      <c r="V11" s="7"/>
      <c r="W11" s="7">
        <f>IF(F18=150,T11,(((U11-T11)/(U9-T9))*(F18-T9))+T11)</f>
        <v>0.535</v>
      </c>
      <c r="X11" s="7"/>
      <c r="Y11" s="7"/>
      <c r="Z11" s="7"/>
      <c r="AA11" s="7"/>
      <c r="AB11" s="7">
        <v>1</v>
      </c>
      <c r="AC11" s="77" t="s">
        <v>62</v>
      </c>
      <c r="AD11" s="78"/>
      <c r="AE11" s="8">
        <v>50</v>
      </c>
      <c r="AF11" s="8">
        <v>100</v>
      </c>
      <c r="AG11" s="8">
        <v>150</v>
      </c>
      <c r="AH11" s="7"/>
      <c r="AI11" s="7"/>
      <c r="AJ11" s="7"/>
      <c r="AK11" s="7">
        <f>LOOKUP(AK12,AC10:AG10,AC11:AG11)</f>
        <v>100</v>
      </c>
      <c r="AL11" s="7">
        <f>LOOKUP(AL12,AC10:AG10,AC11:AG11)</f>
        <v>150</v>
      </c>
      <c r="AM11" s="7"/>
      <c r="AN11" s="7"/>
      <c r="AO11" s="7"/>
    </row>
    <row r="12" spans="1:41" ht="15.75">
      <c r="A12" s="2"/>
      <c r="B12" s="90" t="s">
        <v>35</v>
      </c>
      <c r="C12" s="90"/>
      <c r="D12" s="90"/>
      <c r="E12" s="3"/>
      <c r="F12" s="115" t="s">
        <v>112</v>
      </c>
      <c r="G12" s="115"/>
      <c r="J12" s="7"/>
      <c r="K12" s="7">
        <v>4</v>
      </c>
      <c r="L12" s="8">
        <v>5</v>
      </c>
      <c r="M12" s="8">
        <v>0.04</v>
      </c>
      <c r="N12" s="8">
        <v>0.09</v>
      </c>
      <c r="O12" s="8">
        <v>0.16</v>
      </c>
      <c r="P12" s="8">
        <v>0.26</v>
      </c>
      <c r="Q12" s="7" t="s">
        <v>89</v>
      </c>
      <c r="R12" s="7">
        <f>LOOKUP(S12,K9:K38,L9:L38)</f>
        <v>50</v>
      </c>
      <c r="S12" s="7">
        <f>S11+1</f>
        <v>8</v>
      </c>
      <c r="T12" s="7">
        <f>HLOOKUP(T9,L9:P38,S12)</f>
        <v>0.59</v>
      </c>
      <c r="U12" s="7">
        <f>HLOOKUP(U9,L9:P38,S12)</f>
        <v>0.8</v>
      </c>
      <c r="V12" s="7"/>
      <c r="W12" s="7">
        <f>IF(F18=150,T12,(((U12-T12)/(U9-T9))*(F18-T9))+T12)</f>
        <v>0.6950000000000001</v>
      </c>
      <c r="X12" s="7">
        <f>(((W12-W11)/(R12-R11))*(F32-R11))+W11</f>
        <v>0.6550778546712803</v>
      </c>
      <c r="Y12" s="7"/>
      <c r="Z12" s="7"/>
      <c r="AA12" s="7"/>
      <c r="AB12" s="7">
        <v>2</v>
      </c>
      <c r="AC12" s="77">
        <v>0.5</v>
      </c>
      <c r="AD12" s="78"/>
      <c r="AE12" s="8">
        <v>1.5</v>
      </c>
      <c r="AF12" s="8">
        <v>0.4</v>
      </c>
      <c r="AG12" s="8">
        <v>0.73</v>
      </c>
      <c r="AH12" s="7"/>
      <c r="AI12" s="7"/>
      <c r="AJ12" s="7" t="s">
        <v>85</v>
      </c>
      <c r="AK12" s="7">
        <f>LOOKUP($F$18,AD11:AG11,AD10:AG10)</f>
        <v>3</v>
      </c>
      <c r="AL12" s="7">
        <f>AK12+1</f>
        <v>4</v>
      </c>
      <c r="AM12" s="7"/>
      <c r="AN12" s="7" t="s">
        <v>90</v>
      </c>
      <c r="AO12" s="7" t="s">
        <v>91</v>
      </c>
    </row>
    <row r="13" spans="1:41" ht="15.75">
      <c r="A13" s="2"/>
      <c r="B13" s="90" t="s">
        <v>36</v>
      </c>
      <c r="C13" s="90"/>
      <c r="D13" s="90"/>
      <c r="E13" s="3" t="s">
        <v>56</v>
      </c>
      <c r="F13" s="115">
        <v>0.02</v>
      </c>
      <c r="G13" s="115"/>
      <c r="J13" s="7"/>
      <c r="K13" s="7">
        <v>5</v>
      </c>
      <c r="L13" s="8">
        <v>8</v>
      </c>
      <c r="M13" s="8">
        <v>0.05</v>
      </c>
      <c r="N13" s="8">
        <v>0.12</v>
      </c>
      <c r="O13" s="8">
        <v>0.22</v>
      </c>
      <c r="P13" s="8">
        <v>0.34</v>
      </c>
      <c r="Q13" s="7"/>
      <c r="R13" s="7"/>
      <c r="S13" s="7"/>
      <c r="T13" s="7"/>
      <c r="U13" s="7"/>
      <c r="V13" s="7"/>
      <c r="W13" s="7"/>
      <c r="X13" s="7"/>
      <c r="Y13" s="7"/>
      <c r="Z13" s="7"/>
      <c r="AA13" s="7"/>
      <c r="AB13" s="7">
        <v>3</v>
      </c>
      <c r="AC13" s="77">
        <v>1</v>
      </c>
      <c r="AD13" s="78"/>
      <c r="AE13" s="8">
        <v>3.1</v>
      </c>
      <c r="AF13" s="8">
        <v>0.86</v>
      </c>
      <c r="AG13" s="8">
        <v>1.5</v>
      </c>
      <c r="AH13" s="7" t="s">
        <v>92</v>
      </c>
      <c r="AI13" s="7">
        <f>LOOKUP(AJ13,AB11:AB40,AC11:AC40)</f>
        <v>0.5</v>
      </c>
      <c r="AJ13" s="7">
        <f>LOOKUP($F$36,AC12:AD16,AB12:AB16)</f>
        <v>2</v>
      </c>
      <c r="AK13" s="7">
        <f>HLOOKUP(AK11,AC11:AG40,AJ13)</f>
        <v>0.4</v>
      </c>
      <c r="AL13" s="7">
        <f>HLOOKUP(AL11,AC11:AG40,AJ13)</f>
        <v>0.73</v>
      </c>
      <c r="AM13" s="7"/>
      <c r="AN13" s="7">
        <f>IF($F$18=150,AK13,(((AL13-AK13)/(AL11-AK11))*($F$18-AK11))+AK13)</f>
        <v>0.565</v>
      </c>
      <c r="AO13" s="7"/>
    </row>
    <row r="14" spans="1:41" ht="15.75">
      <c r="A14" s="2"/>
      <c r="B14" s="70"/>
      <c r="C14" s="70"/>
      <c r="D14" s="70"/>
      <c r="E14" s="70"/>
      <c r="F14" s="70"/>
      <c r="G14" s="70"/>
      <c r="J14" s="7"/>
      <c r="K14" s="7">
        <v>6</v>
      </c>
      <c r="L14" s="8">
        <v>10</v>
      </c>
      <c r="M14" s="8">
        <v>0.09</v>
      </c>
      <c r="N14" s="8">
        <v>0.14</v>
      </c>
      <c r="O14" s="8">
        <v>0.26</v>
      </c>
      <c r="P14" s="8">
        <v>0.38</v>
      </c>
      <c r="Q14" s="7"/>
      <c r="R14" s="7"/>
      <c r="S14" s="7"/>
      <c r="T14" s="7"/>
      <c r="U14" s="7"/>
      <c r="V14" s="7"/>
      <c r="W14" s="7"/>
      <c r="X14" s="7"/>
      <c r="Y14" s="7"/>
      <c r="Z14" s="7"/>
      <c r="AA14" s="7"/>
      <c r="AB14" s="7">
        <v>4</v>
      </c>
      <c r="AC14" s="77">
        <v>2</v>
      </c>
      <c r="AD14" s="78"/>
      <c r="AE14" s="9">
        <v>6.1</v>
      </c>
      <c r="AF14" s="8">
        <v>1.7</v>
      </c>
      <c r="AG14" s="8">
        <v>3.3</v>
      </c>
      <c r="AH14" s="7" t="s">
        <v>94</v>
      </c>
      <c r="AI14" s="7">
        <f>LOOKUP(AJ14,AB11:AB40,AC11:AC40)</f>
        <v>1</v>
      </c>
      <c r="AJ14" s="7">
        <f>AJ13+1</f>
        <v>3</v>
      </c>
      <c r="AK14" s="7">
        <f>HLOOKUP(AK11,AC11:AG40,AJ14)</f>
        <v>0.86</v>
      </c>
      <c r="AL14" s="7">
        <f>HLOOKUP(AL11,AC11:AG40,AJ14)</f>
        <v>1.5</v>
      </c>
      <c r="AM14" s="7"/>
      <c r="AN14" s="7">
        <f>IF($F$18=150,AK14,(((AL14-AK14)/(AL11-AK11))*($F$18-AK11))+AK14)</f>
        <v>1.18</v>
      </c>
      <c r="AO14" s="15">
        <f>(((AN14-AN13)/(AI14-AI13))*($F$36-AI13))+AN13</f>
        <v>1.0878457612456747</v>
      </c>
    </row>
    <row r="15" spans="1:41" ht="15.75">
      <c r="A15" s="2"/>
      <c r="B15" s="92" t="s">
        <v>37</v>
      </c>
      <c r="C15" s="92"/>
      <c r="D15" s="92"/>
      <c r="E15" s="89"/>
      <c r="F15" s="89"/>
      <c r="G15" s="89"/>
      <c r="J15" s="7"/>
      <c r="K15" s="7">
        <v>7</v>
      </c>
      <c r="L15" s="8">
        <v>30</v>
      </c>
      <c r="M15" s="8">
        <v>0.1</v>
      </c>
      <c r="N15" s="8">
        <v>0.25</v>
      </c>
      <c r="O15" s="8">
        <v>0.45</v>
      </c>
      <c r="P15" s="8">
        <v>0.62</v>
      </c>
      <c r="Q15" s="7"/>
      <c r="R15" s="7"/>
      <c r="S15" s="7"/>
      <c r="T15" s="7"/>
      <c r="U15" s="7"/>
      <c r="V15" s="7"/>
      <c r="W15" s="7"/>
      <c r="X15" s="7"/>
      <c r="Y15" s="7"/>
      <c r="Z15" s="7"/>
      <c r="AA15" s="7"/>
      <c r="AB15" s="7">
        <v>5</v>
      </c>
      <c r="AC15" s="77">
        <v>3</v>
      </c>
      <c r="AD15" s="78"/>
      <c r="AE15" s="9">
        <v>8.6</v>
      </c>
      <c r="AF15" s="8">
        <v>2.4</v>
      </c>
      <c r="AG15" s="8">
        <v>5.1</v>
      </c>
      <c r="AH15" s="7"/>
      <c r="AI15" s="7"/>
      <c r="AJ15" s="7"/>
      <c r="AK15" s="7"/>
      <c r="AL15" s="7"/>
      <c r="AM15" s="7"/>
      <c r="AN15" s="7"/>
      <c r="AO15" s="7"/>
    </row>
    <row r="16" spans="1:41" ht="15.75" customHeight="1">
      <c r="A16" s="2"/>
      <c r="B16" s="90" t="s">
        <v>69</v>
      </c>
      <c r="C16" s="90"/>
      <c r="D16" s="90"/>
      <c r="E16" s="3" t="s">
        <v>70</v>
      </c>
      <c r="F16" s="3"/>
      <c r="G16" s="20">
        <v>240</v>
      </c>
      <c r="J16" s="7"/>
      <c r="K16" s="7">
        <v>8</v>
      </c>
      <c r="L16" s="8">
        <v>50</v>
      </c>
      <c r="M16" s="8">
        <v>0.13</v>
      </c>
      <c r="N16" s="8">
        <v>0.31</v>
      </c>
      <c r="O16" s="8">
        <v>0.59</v>
      </c>
      <c r="P16" s="8">
        <v>0.8</v>
      </c>
      <c r="Q16" s="7"/>
      <c r="R16" s="7"/>
      <c r="S16" s="7"/>
      <c r="T16" s="7"/>
      <c r="U16" s="7"/>
      <c r="V16" s="7"/>
      <c r="W16" s="7"/>
      <c r="X16" s="7"/>
      <c r="Y16" s="7"/>
      <c r="Z16" s="7"/>
      <c r="AA16" s="7"/>
      <c r="AB16" s="7">
        <v>6</v>
      </c>
      <c r="AC16" s="77">
        <v>4</v>
      </c>
      <c r="AD16" s="78"/>
      <c r="AE16" s="9">
        <v>10.7</v>
      </c>
      <c r="AF16" s="8">
        <v>3</v>
      </c>
      <c r="AG16" s="8">
        <v>6.7</v>
      </c>
      <c r="AH16" s="7"/>
      <c r="AI16" s="10"/>
      <c r="AJ16" s="10"/>
      <c r="AK16" s="10"/>
      <c r="AL16" s="10"/>
      <c r="AM16" s="10"/>
      <c r="AN16" s="10"/>
      <c r="AO16" s="7"/>
    </row>
    <row r="17" spans="1:41" ht="15.75">
      <c r="A17" s="2"/>
      <c r="B17" s="90" t="s">
        <v>40</v>
      </c>
      <c r="C17" s="90"/>
      <c r="D17" s="90"/>
      <c r="E17" s="3" t="s">
        <v>51</v>
      </c>
      <c r="F17" s="114">
        <v>80</v>
      </c>
      <c r="G17" s="114"/>
      <c r="J17" s="7"/>
      <c r="K17" s="7">
        <v>9</v>
      </c>
      <c r="L17" s="8">
        <v>80</v>
      </c>
      <c r="M17" s="8">
        <v>0.15</v>
      </c>
      <c r="N17" s="8">
        <v>0.38</v>
      </c>
      <c r="O17" s="8">
        <v>0.71</v>
      </c>
      <c r="P17" s="8">
        <v>0.9</v>
      </c>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5.75">
      <c r="A18" s="2"/>
      <c r="B18" s="90" t="s">
        <v>41</v>
      </c>
      <c r="C18" s="90"/>
      <c r="D18" s="90"/>
      <c r="E18" s="3" t="s">
        <v>52</v>
      </c>
      <c r="F18" s="115">
        <v>125</v>
      </c>
      <c r="G18" s="115"/>
      <c r="J18" s="7"/>
      <c r="K18" s="7">
        <v>10</v>
      </c>
      <c r="L18" s="8">
        <v>100</v>
      </c>
      <c r="M18" s="8">
        <v>0.16</v>
      </c>
      <c r="N18" s="8">
        <v>0.41</v>
      </c>
      <c r="O18" s="8">
        <v>0.8</v>
      </c>
      <c r="P18" s="8">
        <v>1</v>
      </c>
      <c r="Q18" s="7"/>
      <c r="R18" s="7"/>
      <c r="S18" s="7"/>
      <c r="T18" s="7"/>
      <c r="U18" s="7"/>
      <c r="V18" s="7"/>
      <c r="W18" s="7"/>
      <c r="X18" s="7"/>
      <c r="Y18" s="7"/>
      <c r="Z18" s="7"/>
      <c r="AA18" s="7"/>
      <c r="AB18" s="7"/>
      <c r="AC18" s="7" t="s">
        <v>65</v>
      </c>
      <c r="AD18" s="7"/>
      <c r="AE18" s="7"/>
      <c r="AF18" s="7"/>
      <c r="AG18" s="7"/>
      <c r="AH18" s="7"/>
      <c r="AI18" s="7"/>
      <c r="AJ18" s="7"/>
      <c r="AK18" s="7"/>
      <c r="AL18" s="7"/>
      <c r="AM18" s="7"/>
      <c r="AN18" s="7"/>
      <c r="AO18" s="7"/>
    </row>
    <row r="19" spans="2:41" ht="18.75">
      <c r="B19" s="17" t="s">
        <v>42</v>
      </c>
      <c r="C19" s="17"/>
      <c r="D19" s="17"/>
      <c r="E19" s="22" t="s">
        <v>53</v>
      </c>
      <c r="F19" s="23">
        <f>IF(F18=150,W4,((((AB5-AA5)/(AB4-AA4))*(F18-AA4))+AA5))</f>
        <v>11.1</v>
      </c>
      <c r="G19" s="3"/>
      <c r="J19" s="7"/>
      <c r="K19" s="7">
        <v>11</v>
      </c>
      <c r="L19" s="8">
        <v>300</v>
      </c>
      <c r="M19" s="8">
        <v>0.25</v>
      </c>
      <c r="N19" s="8">
        <v>0.6</v>
      </c>
      <c r="O19" s="8">
        <v>1.1</v>
      </c>
      <c r="P19" s="8">
        <v>1.4</v>
      </c>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2:41" ht="15.75">
      <c r="B20" s="90" t="s">
        <v>71</v>
      </c>
      <c r="C20" s="90"/>
      <c r="D20" s="90"/>
      <c r="E20" s="3" t="s">
        <v>74</v>
      </c>
      <c r="F20" s="3"/>
      <c r="G20" s="20">
        <v>0.68</v>
      </c>
      <c r="J20" s="7"/>
      <c r="K20" s="7">
        <v>12</v>
      </c>
      <c r="L20" s="8">
        <v>500</v>
      </c>
      <c r="M20" s="8">
        <v>0.3</v>
      </c>
      <c r="N20" s="8">
        <v>0.7</v>
      </c>
      <c r="O20" s="8">
        <v>1.25</v>
      </c>
      <c r="P20" s="8">
        <v>1.6</v>
      </c>
      <c r="Q20" s="7"/>
      <c r="R20" s="7"/>
      <c r="S20" s="7"/>
      <c r="T20" s="7"/>
      <c r="U20" s="7"/>
      <c r="V20" s="7"/>
      <c r="W20" s="7"/>
      <c r="X20" s="7"/>
      <c r="Y20" s="7"/>
      <c r="Z20" s="7"/>
      <c r="AA20" s="7"/>
      <c r="AB20" s="7"/>
      <c r="AC20" s="7" t="s">
        <v>63</v>
      </c>
      <c r="AD20" s="7"/>
      <c r="AE20" s="7"/>
      <c r="AF20" s="7"/>
      <c r="AG20" s="7"/>
      <c r="AH20" s="7"/>
      <c r="AI20" s="7"/>
      <c r="AJ20" s="7"/>
      <c r="AK20" s="7"/>
      <c r="AL20" s="7"/>
      <c r="AM20" s="7"/>
      <c r="AN20" s="7"/>
      <c r="AO20" s="7"/>
    </row>
    <row r="21" spans="2:41" ht="15.75">
      <c r="B21" s="90" t="s">
        <v>72</v>
      </c>
      <c r="C21" s="90"/>
      <c r="D21" s="90"/>
      <c r="E21" s="3" t="s">
        <v>73</v>
      </c>
      <c r="F21" s="3"/>
      <c r="G21" s="36">
        <f>IF(F18&lt;100,0.004*F18-0.15,0.0008*F18+0.17)</f>
        <v>0.27</v>
      </c>
      <c r="J21" s="7"/>
      <c r="K21" s="7">
        <v>13</v>
      </c>
      <c r="L21" s="8">
        <v>800</v>
      </c>
      <c r="M21" s="8">
        <v>0.35</v>
      </c>
      <c r="N21" s="8">
        <v>0.75</v>
      </c>
      <c r="O21" s="8">
        <v>1.45</v>
      </c>
      <c r="P21" s="8">
        <v>1.75</v>
      </c>
      <c r="Q21" s="7"/>
      <c r="R21" s="7"/>
      <c r="S21" s="7"/>
      <c r="T21" s="7"/>
      <c r="U21" s="7"/>
      <c r="V21" s="7"/>
      <c r="W21" s="7"/>
      <c r="X21" s="7"/>
      <c r="Y21" s="7"/>
      <c r="Z21" s="7"/>
      <c r="AA21" s="7"/>
      <c r="AB21" s="7" t="s">
        <v>93</v>
      </c>
      <c r="AC21" s="108">
        <v>1</v>
      </c>
      <c r="AD21" s="108"/>
      <c r="AE21" s="7">
        <v>2</v>
      </c>
      <c r="AF21" s="7">
        <v>3</v>
      </c>
      <c r="AG21" s="7">
        <v>4</v>
      </c>
      <c r="AH21" s="7"/>
      <c r="AI21" s="7"/>
      <c r="AJ21" s="7"/>
      <c r="AK21" s="7" t="s">
        <v>86</v>
      </c>
      <c r="AL21" s="7" t="s">
        <v>87</v>
      </c>
      <c r="AM21" s="7"/>
      <c r="AN21" s="7"/>
      <c r="AO21" s="7"/>
    </row>
    <row r="22" spans="2:41" ht="15.75">
      <c r="B22" s="89"/>
      <c r="C22" s="89"/>
      <c r="D22" s="89"/>
      <c r="E22" s="89"/>
      <c r="F22" s="89"/>
      <c r="G22" s="89"/>
      <c r="J22" s="7"/>
      <c r="K22" s="7">
        <v>14</v>
      </c>
      <c r="L22" s="8">
        <v>1000</v>
      </c>
      <c r="M22" s="8">
        <v>0.4</v>
      </c>
      <c r="N22" s="8">
        <v>0.8</v>
      </c>
      <c r="O22" s="8">
        <v>1.5</v>
      </c>
      <c r="P22" s="8">
        <v>1.8</v>
      </c>
      <c r="Q22" s="7"/>
      <c r="R22" s="7"/>
      <c r="S22" s="7"/>
      <c r="T22" s="7"/>
      <c r="U22" s="7"/>
      <c r="V22" s="7"/>
      <c r="W22" s="7"/>
      <c r="X22" s="7"/>
      <c r="Y22" s="7"/>
      <c r="Z22" s="7"/>
      <c r="AA22" s="7"/>
      <c r="AB22" s="7">
        <v>1</v>
      </c>
      <c r="AC22" s="107" t="s">
        <v>62</v>
      </c>
      <c r="AD22" s="107"/>
      <c r="AE22" s="8">
        <v>50</v>
      </c>
      <c r="AF22" s="8">
        <v>100</v>
      </c>
      <c r="AG22" s="8">
        <v>150</v>
      </c>
      <c r="AH22" s="7"/>
      <c r="AI22" s="7"/>
      <c r="AJ22" s="7"/>
      <c r="AK22" s="7">
        <f>LOOKUP(AK23,AC21:AG21,AC22:AG22)</f>
        <v>100</v>
      </c>
      <c r="AL22" s="7">
        <f>LOOKUP(AL23,AC21:AG21,AC22:AG22)</f>
        <v>150</v>
      </c>
      <c r="AM22" s="7"/>
      <c r="AN22" s="7"/>
      <c r="AO22" s="7"/>
    </row>
    <row r="23" spans="2:41" ht="15.75">
      <c r="B23" s="92" t="s">
        <v>43</v>
      </c>
      <c r="C23" s="92"/>
      <c r="D23" s="92"/>
      <c r="E23" s="89"/>
      <c r="F23" s="89"/>
      <c r="G23" s="89"/>
      <c r="J23" s="7"/>
      <c r="K23" s="7">
        <v>15</v>
      </c>
      <c r="L23" s="8">
        <v>3000</v>
      </c>
      <c r="M23" s="8">
        <v>0.45</v>
      </c>
      <c r="N23" s="8">
        <v>1.1</v>
      </c>
      <c r="O23" s="8">
        <v>1.8</v>
      </c>
      <c r="P23" s="8">
        <v>2.3</v>
      </c>
      <c r="Q23" s="7"/>
      <c r="R23" s="7"/>
      <c r="S23" s="7"/>
      <c r="T23" s="7"/>
      <c r="U23" s="7"/>
      <c r="V23" s="7"/>
      <c r="W23" s="7"/>
      <c r="X23" s="7"/>
      <c r="Y23" s="7"/>
      <c r="Z23" s="7"/>
      <c r="AA23" s="7"/>
      <c r="AB23" s="7">
        <v>2</v>
      </c>
      <c r="AC23" s="107">
        <v>0.5</v>
      </c>
      <c r="AD23" s="107"/>
      <c r="AE23" s="8">
        <v>6.2</v>
      </c>
      <c r="AF23" s="8">
        <v>4.4</v>
      </c>
      <c r="AG23" s="8">
        <v>6</v>
      </c>
      <c r="AH23" s="7"/>
      <c r="AI23" s="7"/>
      <c r="AJ23" s="7" t="s">
        <v>85</v>
      </c>
      <c r="AK23" s="7">
        <f>LOOKUP($F$18,AD22:AG22,AD21:AG21)</f>
        <v>3</v>
      </c>
      <c r="AL23" s="7">
        <f>AK23+1</f>
        <v>4</v>
      </c>
      <c r="AM23" s="7"/>
      <c r="AN23" s="7" t="s">
        <v>90</v>
      </c>
      <c r="AO23" s="7" t="s">
        <v>91</v>
      </c>
    </row>
    <row r="24" spans="2:41" ht="18.75">
      <c r="B24" s="90" t="s">
        <v>75</v>
      </c>
      <c r="C24" s="90"/>
      <c r="D24" s="90"/>
      <c r="E24" s="3" t="s">
        <v>76</v>
      </c>
      <c r="F24" s="20">
        <v>1.6</v>
      </c>
      <c r="G24" s="24"/>
      <c r="J24" s="7"/>
      <c r="K24" s="7">
        <v>16</v>
      </c>
      <c r="L24" s="8">
        <v>5000</v>
      </c>
      <c r="M24" s="8">
        <v>0.48</v>
      </c>
      <c r="N24" s="8">
        <v>1.2</v>
      </c>
      <c r="O24" s="8">
        <v>2.2</v>
      </c>
      <c r="P24" s="8">
        <v>2.5</v>
      </c>
      <c r="Q24" s="7"/>
      <c r="R24" s="7"/>
      <c r="S24" s="7"/>
      <c r="T24" s="7"/>
      <c r="U24" s="7"/>
      <c r="V24" s="7"/>
      <c r="W24" s="7"/>
      <c r="X24" s="7"/>
      <c r="Y24" s="7"/>
      <c r="Z24" s="7"/>
      <c r="AA24" s="7"/>
      <c r="AB24" s="7">
        <v>3</v>
      </c>
      <c r="AC24" s="107">
        <v>1</v>
      </c>
      <c r="AD24" s="107"/>
      <c r="AE24" s="8">
        <v>13</v>
      </c>
      <c r="AF24" s="8">
        <v>8</v>
      </c>
      <c r="AG24" s="8">
        <v>10.5</v>
      </c>
      <c r="AH24" s="7" t="s">
        <v>92</v>
      </c>
      <c r="AI24" s="7">
        <f>LOOKUP(AJ24,AB22:AB51,AC22:AC51)</f>
        <v>0.5</v>
      </c>
      <c r="AJ24" s="7">
        <f>LOOKUP($F$36,AC23:AD27,AB23:AB27)</f>
        <v>2</v>
      </c>
      <c r="AK24" s="7">
        <f>HLOOKUP(AK22,AC22:AG51,AJ24)</f>
        <v>4.4</v>
      </c>
      <c r="AL24" s="7">
        <f>HLOOKUP(AL22,AC22:AG51,AJ24)</f>
        <v>6</v>
      </c>
      <c r="AM24" s="7"/>
      <c r="AN24" s="7">
        <f>IF($F$18=150,AK24,(((AL24-AK24)/(AL22-AK22))*($F$18-AK22))+AK24)</f>
        <v>5.2</v>
      </c>
      <c r="AO24" s="7"/>
    </row>
    <row r="25" spans="2:41" ht="18.75">
      <c r="B25" s="90" t="s">
        <v>77</v>
      </c>
      <c r="C25" s="90"/>
      <c r="D25" s="90"/>
      <c r="E25" s="3" t="s">
        <v>78</v>
      </c>
      <c r="F25" s="21">
        <v>1.7</v>
      </c>
      <c r="G25" s="24"/>
      <c r="J25" s="7"/>
      <c r="K25" s="7">
        <v>17</v>
      </c>
      <c r="L25" s="8">
        <v>8000</v>
      </c>
      <c r="M25" s="8">
        <v>0.49</v>
      </c>
      <c r="N25" s="8">
        <v>1.3</v>
      </c>
      <c r="O25" s="8">
        <v>2.3</v>
      </c>
      <c r="P25" s="8">
        <v>2.7</v>
      </c>
      <c r="Q25" s="7"/>
      <c r="R25" s="7"/>
      <c r="S25" s="7"/>
      <c r="T25" s="7"/>
      <c r="U25" s="7"/>
      <c r="V25" s="7"/>
      <c r="W25" s="7"/>
      <c r="X25" s="7"/>
      <c r="Y25" s="7"/>
      <c r="Z25" s="7"/>
      <c r="AA25" s="7"/>
      <c r="AB25" s="7">
        <v>4</v>
      </c>
      <c r="AC25" s="107">
        <v>2</v>
      </c>
      <c r="AD25" s="107"/>
      <c r="AE25" s="9">
        <v>23</v>
      </c>
      <c r="AF25" s="8">
        <v>14</v>
      </c>
      <c r="AG25" s="8">
        <v>18</v>
      </c>
      <c r="AH25" s="7" t="s">
        <v>94</v>
      </c>
      <c r="AI25" s="7">
        <f>LOOKUP(AJ25,AB22:AB51,AC22:AC51)</f>
        <v>1</v>
      </c>
      <c r="AJ25" s="7">
        <f>AJ24+1</f>
        <v>3</v>
      </c>
      <c r="AK25" s="7">
        <f>HLOOKUP(AK22,AC22:AG51,AJ25)</f>
        <v>8</v>
      </c>
      <c r="AL25" s="7">
        <f>HLOOKUP(AL22,AC22:AG51,AJ25)</f>
        <v>10.5</v>
      </c>
      <c r="AM25" s="7"/>
      <c r="AN25" s="7">
        <f>IF($F$18=150,AK25,(((AL25-AK25)/(AL22-AK22))*($F$18-AK22))+AK25)</f>
        <v>9.25</v>
      </c>
      <c r="AO25" s="15">
        <f>(((AN25-AN24)/(AI25-AI24))*($F$36-AI24))+AN24</f>
        <v>8.64313062283737</v>
      </c>
    </row>
    <row r="26" spans="2:41" ht="15.75">
      <c r="B26" s="90" t="s">
        <v>79</v>
      </c>
      <c r="C26" s="90"/>
      <c r="D26" s="90"/>
      <c r="E26" s="3" t="s">
        <v>54</v>
      </c>
      <c r="F26" s="24"/>
      <c r="G26" s="20">
        <v>1.7</v>
      </c>
      <c r="J26" s="7"/>
      <c r="K26" s="7">
        <v>18</v>
      </c>
      <c r="L26" s="8">
        <v>10000</v>
      </c>
      <c r="M26" s="8">
        <v>0.5</v>
      </c>
      <c r="N26" s="8">
        <v>1.35</v>
      </c>
      <c r="O26" s="8">
        <v>2.4</v>
      </c>
      <c r="P26" s="8">
        <v>2.8</v>
      </c>
      <c r="Q26" s="7"/>
      <c r="R26" s="7"/>
      <c r="S26" s="7"/>
      <c r="T26" s="7"/>
      <c r="U26" s="7"/>
      <c r="V26" s="7"/>
      <c r="W26" s="7"/>
      <c r="X26" s="7"/>
      <c r="Y26" s="7"/>
      <c r="Z26" s="7"/>
      <c r="AA26" s="7"/>
      <c r="AB26" s="7">
        <v>5</v>
      </c>
      <c r="AC26" s="107">
        <v>3</v>
      </c>
      <c r="AD26" s="107"/>
      <c r="AE26" s="9">
        <v>31</v>
      </c>
      <c r="AF26" s="8">
        <v>19</v>
      </c>
      <c r="AG26" s="8">
        <v>25</v>
      </c>
      <c r="AH26" s="7"/>
      <c r="AI26" s="7"/>
      <c r="AJ26" s="7"/>
      <c r="AK26" s="7"/>
      <c r="AL26" s="7"/>
      <c r="AM26" s="7"/>
      <c r="AN26" s="7"/>
      <c r="AO26" s="7"/>
    </row>
    <row r="27" spans="2:41" ht="15.75">
      <c r="B27" s="89"/>
      <c r="C27" s="89"/>
      <c r="D27" s="89"/>
      <c r="E27" s="89"/>
      <c r="F27" s="89"/>
      <c r="G27" s="89"/>
      <c r="J27" s="7"/>
      <c r="K27" s="7">
        <v>19</v>
      </c>
      <c r="L27" s="8">
        <v>30000</v>
      </c>
      <c r="M27" s="8">
        <v>0.6</v>
      </c>
      <c r="N27" s="8">
        <v>1.5</v>
      </c>
      <c r="O27" s="8">
        <v>2.75</v>
      </c>
      <c r="P27" s="8">
        <v>3.25</v>
      </c>
      <c r="Q27" s="7"/>
      <c r="R27" s="7"/>
      <c r="S27" s="7"/>
      <c r="T27" s="7"/>
      <c r="U27" s="7"/>
      <c r="V27" s="7"/>
      <c r="W27" s="7"/>
      <c r="X27" s="7"/>
      <c r="Y27" s="7"/>
      <c r="Z27" s="7"/>
      <c r="AA27" s="7"/>
      <c r="AB27" s="7">
        <v>6</v>
      </c>
      <c r="AC27" s="107">
        <v>4</v>
      </c>
      <c r="AD27" s="107"/>
      <c r="AE27" s="9">
        <v>39</v>
      </c>
      <c r="AF27" s="8">
        <v>24</v>
      </c>
      <c r="AG27" s="8">
        <v>30</v>
      </c>
      <c r="AH27" s="7"/>
      <c r="AI27" s="7"/>
      <c r="AJ27" s="7"/>
      <c r="AK27" s="7"/>
      <c r="AL27" s="7"/>
      <c r="AM27" s="7"/>
      <c r="AN27" s="7"/>
      <c r="AO27" s="7"/>
    </row>
    <row r="28" spans="2:41" ht="15.75">
      <c r="B28" s="92" t="s">
        <v>80</v>
      </c>
      <c r="C28" s="92"/>
      <c r="D28" s="92"/>
      <c r="E28" s="89"/>
      <c r="F28" s="89"/>
      <c r="G28" s="89"/>
      <c r="J28" s="7"/>
      <c r="K28" s="7">
        <v>20</v>
      </c>
      <c r="L28" s="8">
        <v>50000</v>
      </c>
      <c r="M28" s="8">
        <v>0.65</v>
      </c>
      <c r="N28" s="8">
        <v>1.6</v>
      </c>
      <c r="O28" s="8">
        <v>3</v>
      </c>
      <c r="P28" s="8">
        <v>3.5</v>
      </c>
      <c r="Q28" s="7"/>
      <c r="R28" s="7"/>
      <c r="S28" s="7"/>
      <c r="T28" s="7"/>
      <c r="U28" s="7"/>
      <c r="V28" s="7"/>
      <c r="W28" s="7"/>
      <c r="X28" s="7"/>
      <c r="Y28" s="7"/>
      <c r="Z28" s="7"/>
      <c r="AA28" s="7"/>
      <c r="AB28" s="7"/>
      <c r="AC28" s="7"/>
      <c r="AD28" s="7"/>
      <c r="AE28" s="7"/>
      <c r="AF28" s="7"/>
      <c r="AG28" s="7"/>
      <c r="AH28" s="7"/>
      <c r="AI28" s="7"/>
      <c r="AJ28" s="7"/>
      <c r="AK28" s="7"/>
      <c r="AL28" s="7"/>
      <c r="AM28" s="7"/>
      <c r="AN28" s="7"/>
      <c r="AO28" s="7"/>
    </row>
    <row r="29" spans="2:41" ht="18.75">
      <c r="B29" s="90" t="s">
        <v>81</v>
      </c>
      <c r="C29" s="90"/>
      <c r="D29" s="90"/>
      <c r="E29" s="3" t="s">
        <v>84</v>
      </c>
      <c r="F29" s="20">
        <v>1500</v>
      </c>
      <c r="G29" s="24"/>
      <c r="J29" s="7"/>
      <c r="K29" s="7">
        <v>21</v>
      </c>
      <c r="L29" s="8">
        <v>80000</v>
      </c>
      <c r="M29" s="8">
        <v>0.69</v>
      </c>
      <c r="N29" s="8">
        <v>1.65</v>
      </c>
      <c r="O29" s="8">
        <v>3.1</v>
      </c>
      <c r="P29" s="8">
        <v>3.6</v>
      </c>
      <c r="Q29" s="7"/>
      <c r="R29" s="7"/>
      <c r="S29" s="7"/>
      <c r="T29" s="7"/>
      <c r="U29" s="7"/>
      <c r="V29" s="7"/>
      <c r="W29" s="7"/>
      <c r="X29" s="7"/>
      <c r="Y29" s="7"/>
      <c r="Z29" s="7"/>
      <c r="AA29" s="7"/>
      <c r="AB29" s="7"/>
      <c r="AC29" s="7" t="s">
        <v>65</v>
      </c>
      <c r="AD29" s="7"/>
      <c r="AE29" s="7"/>
      <c r="AF29" s="7"/>
      <c r="AG29" s="7"/>
      <c r="AH29" s="7"/>
      <c r="AI29" s="7"/>
      <c r="AJ29" s="7"/>
      <c r="AK29" s="7"/>
      <c r="AL29" s="7"/>
      <c r="AM29" s="7"/>
      <c r="AN29" s="7"/>
      <c r="AO29" s="7"/>
    </row>
    <row r="30" spans="2:41" ht="15.75">
      <c r="B30" s="90" t="s">
        <v>82</v>
      </c>
      <c r="C30" s="90"/>
      <c r="D30" s="90"/>
      <c r="E30" s="3" t="s">
        <v>83</v>
      </c>
      <c r="F30" s="21">
        <v>0.002</v>
      </c>
      <c r="G30" s="24"/>
      <c r="J30" s="7"/>
      <c r="K30" s="7">
        <v>22</v>
      </c>
      <c r="L30" s="8">
        <v>100000</v>
      </c>
      <c r="M30" s="8">
        <v>0.7</v>
      </c>
      <c r="N30" s="8">
        <v>1.7</v>
      </c>
      <c r="O30" s="8">
        <v>3.2</v>
      </c>
      <c r="P30" s="8">
        <v>3.7</v>
      </c>
      <c r="Q30" s="7"/>
      <c r="R30" s="7"/>
      <c r="S30" s="7"/>
      <c r="T30" s="7"/>
      <c r="U30" s="7"/>
      <c r="V30" s="7"/>
      <c r="W30" s="7"/>
      <c r="X30" s="7"/>
      <c r="Y30" s="7"/>
      <c r="Z30" s="7"/>
      <c r="AA30" s="7"/>
      <c r="AB30" s="7"/>
      <c r="AC30" s="7" t="s">
        <v>64</v>
      </c>
      <c r="AD30" s="7"/>
      <c r="AE30" s="7"/>
      <c r="AF30" s="7"/>
      <c r="AG30" s="7"/>
      <c r="AH30" s="7"/>
      <c r="AI30" s="7"/>
      <c r="AJ30" s="7"/>
      <c r="AK30" s="7"/>
      <c r="AL30" s="7"/>
      <c r="AM30" s="7"/>
      <c r="AN30" s="7"/>
      <c r="AO30" s="7"/>
    </row>
    <row r="31" spans="2:41" ht="15.75">
      <c r="B31" s="89"/>
      <c r="C31" s="89"/>
      <c r="D31" s="89"/>
      <c r="E31" s="89"/>
      <c r="F31" s="89"/>
      <c r="G31" s="89"/>
      <c r="J31" s="7"/>
      <c r="K31" s="7">
        <v>23</v>
      </c>
      <c r="L31" s="8">
        <v>300000</v>
      </c>
      <c r="M31" s="8">
        <v>0.8</v>
      </c>
      <c r="N31" s="8">
        <v>2</v>
      </c>
      <c r="O31" s="8">
        <v>3.55</v>
      </c>
      <c r="P31" s="8">
        <v>4.2</v>
      </c>
      <c r="Q31" s="7"/>
      <c r="R31" s="7"/>
      <c r="S31" s="7"/>
      <c r="T31" s="7"/>
      <c r="U31" s="7"/>
      <c r="V31" s="7"/>
      <c r="W31" s="7"/>
      <c r="X31" s="7"/>
      <c r="Y31" s="7"/>
      <c r="Z31" s="7"/>
      <c r="AA31" s="7"/>
      <c r="AB31" s="7" t="s">
        <v>93</v>
      </c>
      <c r="AC31" s="108">
        <v>1</v>
      </c>
      <c r="AD31" s="108"/>
      <c r="AE31" s="7">
        <v>2</v>
      </c>
      <c r="AF31" s="7">
        <v>3</v>
      </c>
      <c r="AG31" s="7">
        <v>4</v>
      </c>
      <c r="AH31" s="7"/>
      <c r="AI31" s="7"/>
      <c r="AJ31" s="7"/>
      <c r="AK31" s="7" t="s">
        <v>86</v>
      </c>
      <c r="AL31" s="7" t="s">
        <v>87</v>
      </c>
      <c r="AM31" s="7"/>
      <c r="AN31" s="7"/>
      <c r="AO31" s="7"/>
    </row>
    <row r="32" spans="2:41" ht="15.75">
      <c r="B32" s="91" t="s">
        <v>45</v>
      </c>
      <c r="C32" s="91"/>
      <c r="D32" s="91"/>
      <c r="E32" s="25" t="s">
        <v>55</v>
      </c>
      <c r="F32" s="26">
        <f>IF(((F19*F17*F11*F10*F30*F29)/(F24^2*F25^2*400*F13))&lt;1,1,((F19*F17*F11*F10*F30*F29)/(F24^2*F25^2*400*F13)))</f>
        <v>45.00973183391003</v>
      </c>
      <c r="G32" s="27">
        <f>(G20*F17*F11*F10)/(G26^2*G16*F13)</f>
        <v>3.921568627450981</v>
      </c>
      <c r="J32" s="7"/>
      <c r="K32" s="7">
        <v>24</v>
      </c>
      <c r="L32" s="8">
        <v>500000</v>
      </c>
      <c r="M32" s="8">
        <v>0.85</v>
      </c>
      <c r="N32" s="8">
        <v>2.15</v>
      </c>
      <c r="O32" s="8">
        <v>3.7</v>
      </c>
      <c r="P32" s="8">
        <v>4.4</v>
      </c>
      <c r="Q32" s="7"/>
      <c r="R32" s="7"/>
      <c r="S32" s="7"/>
      <c r="T32" s="7"/>
      <c r="U32" s="7"/>
      <c r="V32" s="7"/>
      <c r="W32" s="7"/>
      <c r="X32" s="7"/>
      <c r="Y32" s="7"/>
      <c r="Z32" s="7"/>
      <c r="AA32" s="7"/>
      <c r="AB32" s="7">
        <v>1</v>
      </c>
      <c r="AC32" s="107" t="s">
        <v>62</v>
      </c>
      <c r="AD32" s="107"/>
      <c r="AE32" s="8">
        <v>50</v>
      </c>
      <c r="AF32" s="8">
        <v>100</v>
      </c>
      <c r="AG32" s="8">
        <v>150</v>
      </c>
      <c r="AH32" s="7"/>
      <c r="AI32" s="7"/>
      <c r="AJ32" s="7"/>
      <c r="AK32" s="7">
        <f>LOOKUP(AK33,AC31:AG31,AC32:AG32)</f>
        <v>100</v>
      </c>
      <c r="AL32" s="7">
        <f>LOOKUP(AL33,AC31:AG31,AC32:AG32)</f>
        <v>150</v>
      </c>
      <c r="AM32" s="7"/>
      <c r="AN32" s="7"/>
      <c r="AO32" s="7"/>
    </row>
    <row r="33" spans="2:41" ht="15.75">
      <c r="B33" s="89"/>
      <c r="C33" s="89"/>
      <c r="D33" s="89"/>
      <c r="E33" s="89"/>
      <c r="F33" s="89"/>
      <c r="G33" s="89"/>
      <c r="J33" s="7"/>
      <c r="K33" s="7">
        <v>25</v>
      </c>
      <c r="L33" s="8">
        <v>800000</v>
      </c>
      <c r="M33" s="8">
        <v>0.89</v>
      </c>
      <c r="N33" s="8">
        <v>2.25</v>
      </c>
      <c r="O33" s="8">
        <v>3.9</v>
      </c>
      <c r="P33" s="8">
        <v>4.55</v>
      </c>
      <c r="Q33" s="7"/>
      <c r="R33" s="7"/>
      <c r="S33" s="7"/>
      <c r="T33" s="7"/>
      <c r="U33" s="7"/>
      <c r="V33" s="7"/>
      <c r="W33" s="7"/>
      <c r="X33" s="7"/>
      <c r="Y33" s="7"/>
      <c r="Z33" s="7"/>
      <c r="AA33" s="7"/>
      <c r="AB33" s="7">
        <v>2</v>
      </c>
      <c r="AC33" s="107">
        <v>0.5</v>
      </c>
      <c r="AD33" s="107"/>
      <c r="AE33" s="8">
        <v>10</v>
      </c>
      <c r="AF33" s="8">
        <v>7</v>
      </c>
      <c r="AG33" s="8">
        <v>8.4</v>
      </c>
      <c r="AH33" s="7"/>
      <c r="AI33" s="7"/>
      <c r="AJ33" s="7" t="s">
        <v>85</v>
      </c>
      <c r="AK33" s="7">
        <f>LOOKUP($F$18,AD32:AG32,AD31:AG31)</f>
        <v>3</v>
      </c>
      <c r="AL33" s="7">
        <f>AK33+1</f>
        <v>4</v>
      </c>
      <c r="AM33" s="7"/>
      <c r="AN33" s="7" t="s">
        <v>90</v>
      </c>
      <c r="AO33" s="7" t="s">
        <v>91</v>
      </c>
    </row>
    <row r="34" spans="2:41" ht="15.75">
      <c r="B34" s="86" t="s">
        <v>46</v>
      </c>
      <c r="C34" s="86"/>
      <c r="D34" s="86"/>
      <c r="E34" s="86"/>
      <c r="F34" s="27">
        <f>X12</f>
        <v>0.6550778546712803</v>
      </c>
      <c r="G34" s="27">
        <f>IF((LN(G32)*G21/LN(2))&lt;0,0,LN(G32)*G21/LN(2))</f>
        <v>0.532286328906872</v>
      </c>
      <c r="J34" s="7"/>
      <c r="K34" s="7">
        <v>26</v>
      </c>
      <c r="L34" s="8">
        <v>1000000</v>
      </c>
      <c r="M34" s="8">
        <v>0.9</v>
      </c>
      <c r="N34" s="8">
        <v>2.3</v>
      </c>
      <c r="O34" s="8">
        <v>4</v>
      </c>
      <c r="P34" s="8">
        <v>4.7</v>
      </c>
      <c r="Q34" s="7"/>
      <c r="R34" s="7"/>
      <c r="S34" s="7"/>
      <c r="T34" s="7"/>
      <c r="U34" s="7"/>
      <c r="V34" s="7"/>
      <c r="W34" s="7"/>
      <c r="X34" s="7"/>
      <c r="Y34" s="7"/>
      <c r="Z34" s="7"/>
      <c r="AA34" s="7"/>
      <c r="AB34" s="7">
        <v>3</v>
      </c>
      <c r="AC34" s="107">
        <v>1</v>
      </c>
      <c r="AD34" s="107"/>
      <c r="AE34" s="8">
        <v>20</v>
      </c>
      <c r="AF34" s="8">
        <v>12</v>
      </c>
      <c r="AG34" s="8">
        <v>15</v>
      </c>
      <c r="AH34" s="7" t="s">
        <v>92</v>
      </c>
      <c r="AI34" s="7">
        <f>LOOKUP(AJ34,AB32:AB37,AC32:AC37)</f>
        <v>0.5</v>
      </c>
      <c r="AJ34" s="7">
        <f>LOOKUP($F$36,AC33:AD37,AB33:AB37)</f>
        <v>2</v>
      </c>
      <c r="AK34" s="7">
        <f>HLOOKUP(AK32,AC32:AG61,AJ34)</f>
        <v>7</v>
      </c>
      <c r="AL34" s="7">
        <f>HLOOKUP(AL32,AC32:AG61,AJ34)</f>
        <v>8.4</v>
      </c>
      <c r="AM34" s="7"/>
      <c r="AN34" s="7">
        <f>IF($F$18=150,AK34,(((AL34-AK34)/(AL32-AK32))*($F$18-AK32))+AK34)</f>
        <v>7.7</v>
      </c>
      <c r="AO34" s="7"/>
    </row>
    <row r="35" spans="2:41" ht="30" customHeight="1">
      <c r="B35" s="24"/>
      <c r="C35" s="24"/>
      <c r="D35" s="24"/>
      <c r="E35" s="24"/>
      <c r="F35" s="24"/>
      <c r="G35" s="24"/>
      <c r="J35" s="7"/>
      <c r="K35" s="7">
        <v>27</v>
      </c>
      <c r="L35" s="8">
        <v>3000000</v>
      </c>
      <c r="M35" s="8">
        <v>0.95</v>
      </c>
      <c r="N35" s="8">
        <v>2.5</v>
      </c>
      <c r="O35" s="8">
        <v>4.4</v>
      </c>
      <c r="P35" s="8">
        <v>5.2</v>
      </c>
      <c r="Q35" s="7"/>
      <c r="R35" s="7"/>
      <c r="S35" s="7"/>
      <c r="T35" s="7"/>
      <c r="U35" s="7"/>
      <c r="V35" s="7"/>
      <c r="W35" s="7"/>
      <c r="X35" s="7"/>
      <c r="Y35" s="7"/>
      <c r="Z35" s="7"/>
      <c r="AA35" s="7"/>
      <c r="AB35" s="7">
        <v>4</v>
      </c>
      <c r="AC35" s="107">
        <v>2</v>
      </c>
      <c r="AD35" s="107"/>
      <c r="AE35" s="8">
        <v>33</v>
      </c>
      <c r="AF35" s="8">
        <v>19.5</v>
      </c>
      <c r="AG35" s="8">
        <v>26</v>
      </c>
      <c r="AH35" s="7" t="s">
        <v>94</v>
      </c>
      <c r="AI35" s="7">
        <f>LOOKUP(AJ35,AB32:AB37,AC32:AC37)</f>
        <v>1</v>
      </c>
      <c r="AJ35" s="7">
        <f>AJ34+1</f>
        <v>3</v>
      </c>
      <c r="AK35" s="7">
        <f>HLOOKUP(AK32,AC32:AG61,AJ35)</f>
        <v>12</v>
      </c>
      <c r="AL35" s="7">
        <f>HLOOKUP(AL32,AC32:AG61,AJ35)</f>
        <v>15</v>
      </c>
      <c r="AM35" s="7"/>
      <c r="AN35" s="7">
        <f>IF($F$18=150,AK35,(((AL35-AK35)/(AL32-AK32))*($F$18-AK32))+AK35)</f>
        <v>13.5</v>
      </c>
      <c r="AO35" s="15">
        <f>(((AN35-AN34)/(AI35-AI34))*($F$36-AI34))+AN34</f>
        <v>12.630903114186852</v>
      </c>
    </row>
    <row r="36" spans="2:41" ht="18.75">
      <c r="B36" s="111" t="s">
        <v>107</v>
      </c>
      <c r="C36" s="111"/>
      <c r="D36" s="111"/>
      <c r="E36" s="111"/>
      <c r="F36" s="74">
        <f>IF(F34&gt;G34,AF50,AF51)</f>
        <v>0.9250778546712803</v>
      </c>
      <c r="G36" s="74"/>
      <c r="J36" s="7"/>
      <c r="K36" s="7">
        <v>28</v>
      </c>
      <c r="L36" s="8">
        <v>5000000</v>
      </c>
      <c r="M36" s="8">
        <v>1</v>
      </c>
      <c r="N36" s="8">
        <v>2.65</v>
      </c>
      <c r="O36" s="8">
        <v>4.6</v>
      </c>
      <c r="P36" s="8">
        <v>5.4</v>
      </c>
      <c r="Q36" s="7"/>
      <c r="R36" s="7"/>
      <c r="S36" s="7"/>
      <c r="T36" s="7"/>
      <c r="U36" s="7"/>
      <c r="V36" s="7"/>
      <c r="W36" s="7"/>
      <c r="X36" s="7"/>
      <c r="Y36" s="7"/>
      <c r="Z36" s="7"/>
      <c r="AA36" s="7"/>
      <c r="AB36" s="7">
        <v>5</v>
      </c>
      <c r="AC36" s="107">
        <v>3</v>
      </c>
      <c r="AD36" s="107"/>
      <c r="AE36" s="8">
        <v>44</v>
      </c>
      <c r="AF36" s="8">
        <v>26</v>
      </c>
      <c r="AG36" s="8">
        <v>34</v>
      </c>
      <c r="AH36" s="7"/>
      <c r="AI36" s="7"/>
      <c r="AJ36" s="7"/>
      <c r="AK36" s="7"/>
      <c r="AL36" s="7"/>
      <c r="AM36" s="7"/>
      <c r="AN36" s="7"/>
      <c r="AO36" s="7"/>
    </row>
    <row r="37" spans="2:41" ht="30" customHeight="1">
      <c r="B37" s="87" t="s">
        <v>108</v>
      </c>
      <c r="C37" s="87"/>
      <c r="D37" s="87"/>
      <c r="E37" s="87"/>
      <c r="F37" s="87"/>
      <c r="G37" s="87"/>
      <c r="J37" s="7"/>
      <c r="K37" s="7">
        <v>29</v>
      </c>
      <c r="L37" s="8">
        <v>8000000</v>
      </c>
      <c r="M37" s="8">
        <v>1.05</v>
      </c>
      <c r="N37" s="8">
        <v>2.7</v>
      </c>
      <c r="O37" s="8">
        <v>4.75</v>
      </c>
      <c r="P37" s="8">
        <v>5.5</v>
      </c>
      <c r="Q37" s="7"/>
      <c r="R37" s="7"/>
      <c r="S37" s="7"/>
      <c r="T37" s="7"/>
      <c r="U37" s="7"/>
      <c r="V37" s="7"/>
      <c r="W37" s="7"/>
      <c r="X37" s="7"/>
      <c r="Y37" s="7"/>
      <c r="Z37" s="7"/>
      <c r="AA37" s="7"/>
      <c r="AB37" s="7">
        <v>6</v>
      </c>
      <c r="AC37" s="107">
        <v>4</v>
      </c>
      <c r="AD37" s="107"/>
      <c r="AE37" s="8">
        <v>60</v>
      </c>
      <c r="AF37" s="8">
        <v>33</v>
      </c>
      <c r="AG37" s="8">
        <v>42</v>
      </c>
      <c r="AH37" s="7"/>
      <c r="AI37" s="7"/>
      <c r="AJ37" s="7"/>
      <c r="AK37" s="7"/>
      <c r="AL37" s="7"/>
      <c r="AM37" s="7"/>
      <c r="AN37" s="7"/>
      <c r="AO37" s="7"/>
    </row>
    <row r="38" spans="2:41" ht="18.75">
      <c r="B38" s="88" t="s">
        <v>109</v>
      </c>
      <c r="C38" s="88"/>
      <c r="D38" s="88"/>
      <c r="E38" s="88"/>
      <c r="F38" s="112">
        <f>IF(OR(F36&lt;0.5,F36&gt;4),"",AO14)</f>
        <v>1.0878457612456747</v>
      </c>
      <c r="G38" s="113"/>
      <c r="J38" s="7"/>
      <c r="K38" s="7">
        <v>30</v>
      </c>
      <c r="L38" s="8">
        <v>10000000</v>
      </c>
      <c r="M38" s="8">
        <v>1.1</v>
      </c>
      <c r="N38" s="8">
        <v>2.8</v>
      </c>
      <c r="O38" s="8">
        <v>4.8</v>
      </c>
      <c r="P38" s="8">
        <v>5.6</v>
      </c>
      <c r="Q38" s="7"/>
      <c r="R38" s="7"/>
      <c r="S38" s="7"/>
      <c r="T38" s="7"/>
      <c r="U38" s="7"/>
      <c r="V38" s="7"/>
      <c r="W38" s="7"/>
      <c r="X38" s="7"/>
      <c r="Y38" s="7"/>
      <c r="Z38" s="7"/>
      <c r="AA38" s="7"/>
      <c r="AB38" s="7"/>
      <c r="AC38" s="7"/>
      <c r="AD38" s="7"/>
      <c r="AE38" s="7"/>
      <c r="AF38" s="7"/>
      <c r="AG38" s="7"/>
      <c r="AH38" s="7"/>
      <c r="AI38" s="7"/>
      <c r="AJ38" s="7"/>
      <c r="AK38" s="7"/>
      <c r="AL38" s="7"/>
      <c r="AM38" s="7"/>
      <c r="AN38" s="7"/>
      <c r="AO38" s="7"/>
    </row>
    <row r="39" spans="2:7" ht="18.75">
      <c r="B39" s="88" t="s">
        <v>110</v>
      </c>
      <c r="C39" s="88"/>
      <c r="D39" s="88"/>
      <c r="E39" s="88"/>
      <c r="F39" s="112">
        <f>IF(OR(F36&lt;0.5,F36&gt;4),"",AO25)</f>
        <v>8.64313062283737</v>
      </c>
      <c r="G39" s="113"/>
    </row>
    <row r="40" spans="2:7" ht="18.75">
      <c r="B40" s="88" t="s">
        <v>111</v>
      </c>
      <c r="C40" s="88"/>
      <c r="D40" s="88"/>
      <c r="E40" s="88"/>
      <c r="F40" s="112">
        <f>IF(OR(F36&lt;0.5,F36&gt;4),"",AO35)</f>
        <v>12.630903114186852</v>
      </c>
      <c r="G40" s="113"/>
    </row>
    <row r="41" spans="12:30" ht="15.75">
      <c r="L41" s="11"/>
      <c r="M41" s="11" t="s">
        <v>95</v>
      </c>
      <c r="N41" s="11"/>
      <c r="O41" s="11"/>
      <c r="P41" s="11"/>
      <c r="Q41" s="11"/>
      <c r="R41" s="11"/>
      <c r="S41" s="11"/>
      <c r="T41" s="11"/>
      <c r="U41" s="11"/>
      <c r="V41" s="11"/>
      <c r="W41" s="11"/>
      <c r="X41" s="11"/>
      <c r="Y41" s="7"/>
      <c r="Z41" s="7"/>
      <c r="AA41" s="7"/>
      <c r="AB41" s="7"/>
      <c r="AC41" s="7"/>
      <c r="AD41" s="7"/>
    </row>
    <row r="42" spans="12:30" ht="15.75">
      <c r="L42" s="11" t="s">
        <v>85</v>
      </c>
      <c r="M42" s="11"/>
      <c r="N42" s="11">
        <v>1</v>
      </c>
      <c r="O42" s="11">
        <v>2</v>
      </c>
      <c r="P42" s="11">
        <v>3</v>
      </c>
      <c r="Q42" s="11">
        <v>4</v>
      </c>
      <c r="R42" s="11">
        <v>5</v>
      </c>
      <c r="Y42" s="7"/>
      <c r="Z42" s="7"/>
      <c r="AA42" s="7"/>
      <c r="AB42" s="7" t="s">
        <v>86</v>
      </c>
      <c r="AC42" s="7" t="s">
        <v>87</v>
      </c>
      <c r="AD42" s="7" t="s">
        <v>97</v>
      </c>
    </row>
    <row r="43" spans="12:30" ht="15.75" hidden="1">
      <c r="L43" s="11">
        <v>1</v>
      </c>
      <c r="M43" s="12" t="s">
        <v>58</v>
      </c>
      <c r="N43" s="12">
        <v>50</v>
      </c>
      <c r="O43" s="12">
        <v>75</v>
      </c>
      <c r="P43" s="12">
        <v>100</v>
      </c>
      <c r="Q43" s="12">
        <v>125</v>
      </c>
      <c r="R43" s="12">
        <v>150</v>
      </c>
      <c r="Y43" s="7"/>
      <c r="Z43" s="7"/>
      <c r="AA43" s="7"/>
      <c r="AB43" s="7">
        <f>LOOKUP(F18,N43:X43,N42:X42)</f>
        <v>4</v>
      </c>
      <c r="AC43" s="7">
        <f>AB43+1</f>
        <v>5</v>
      </c>
      <c r="AD43" s="7"/>
    </row>
    <row r="44" spans="12:30" ht="15.75" hidden="1">
      <c r="L44" s="11">
        <v>2</v>
      </c>
      <c r="M44" s="14" t="s">
        <v>96</v>
      </c>
      <c r="N44" s="12">
        <v>0.18</v>
      </c>
      <c r="O44" s="12">
        <v>0.5</v>
      </c>
      <c r="P44" s="12">
        <v>0.84</v>
      </c>
      <c r="Q44" s="12">
        <v>0.9</v>
      </c>
      <c r="R44" s="12">
        <v>0.96</v>
      </c>
      <c r="Y44" s="7"/>
      <c r="Z44" s="7"/>
      <c r="AA44" s="7"/>
      <c r="AB44" s="7">
        <f>LOOKUP(AB43,N42:X42,N43:X43)</f>
        <v>125</v>
      </c>
      <c r="AC44" s="7">
        <f>LOOKUP(AC43,N42:X42,N43:X43)</f>
        <v>150</v>
      </c>
      <c r="AD44" s="7"/>
    </row>
    <row r="45" spans="12:30" ht="15.75" hidden="1">
      <c r="L45" s="7"/>
      <c r="M45" s="7"/>
      <c r="N45" s="7"/>
      <c r="O45" s="7"/>
      <c r="P45" s="7"/>
      <c r="Q45" s="7"/>
      <c r="R45" s="7"/>
      <c r="S45" s="7"/>
      <c r="T45" s="7"/>
      <c r="U45" s="7"/>
      <c r="V45" s="7"/>
      <c r="W45" s="7"/>
      <c r="X45" s="7"/>
      <c r="Y45" s="7"/>
      <c r="Z45" s="7"/>
      <c r="AA45" s="7"/>
      <c r="AB45" s="7">
        <f>LOOKUP(AB44,N43:X43,N44:X44)</f>
        <v>0.9</v>
      </c>
      <c r="AC45" s="7">
        <f>LOOKUP(AC44,N43:X43,N44:X44)</f>
        <v>0.96</v>
      </c>
      <c r="AD45" s="7">
        <f>IF(F18=150,AB45,((AC45-AB45)/(AC44-AB44))*(F18-AB44)+AB45)</f>
        <v>0.9</v>
      </c>
    </row>
    <row r="46" ht="15.75" hidden="1"/>
    <row r="47" spans="12:30" ht="15.75" hidden="1">
      <c r="L47" s="11"/>
      <c r="M47" s="11" t="s">
        <v>98</v>
      </c>
      <c r="N47" s="11"/>
      <c r="O47" s="11"/>
      <c r="P47" s="11"/>
      <c r="Q47" s="11"/>
      <c r="R47" s="11"/>
      <c r="S47" s="11"/>
      <c r="T47" s="11"/>
      <c r="U47" s="11"/>
      <c r="V47" s="11"/>
      <c r="W47" s="11"/>
      <c r="X47" s="11"/>
      <c r="Y47" s="7"/>
      <c r="Z47" s="7"/>
      <c r="AA47" s="7"/>
      <c r="AB47" s="7"/>
      <c r="AC47" s="7"/>
      <c r="AD47" s="7"/>
    </row>
    <row r="48" spans="12:30" ht="15.75" hidden="1">
      <c r="L48" s="11" t="s">
        <v>85</v>
      </c>
      <c r="M48" s="11"/>
      <c r="N48" s="11">
        <v>1</v>
      </c>
      <c r="O48" s="11">
        <v>2</v>
      </c>
      <c r="P48" s="11">
        <v>3</v>
      </c>
      <c r="Q48" s="11">
        <v>4</v>
      </c>
      <c r="Y48" s="7"/>
      <c r="Z48" s="7"/>
      <c r="AA48" s="7"/>
      <c r="AB48" s="7" t="s">
        <v>86</v>
      </c>
      <c r="AC48" s="7" t="s">
        <v>87</v>
      </c>
      <c r="AD48" s="7" t="s">
        <v>97</v>
      </c>
    </row>
    <row r="49" spans="12:30" ht="15.75" hidden="1">
      <c r="L49" s="11">
        <v>1</v>
      </c>
      <c r="M49" s="12" t="s">
        <v>58</v>
      </c>
      <c r="N49" s="12">
        <v>50</v>
      </c>
      <c r="O49" s="12">
        <v>75</v>
      </c>
      <c r="P49" s="12">
        <v>100</v>
      </c>
      <c r="Q49" s="12">
        <v>150</v>
      </c>
      <c r="Y49" s="7"/>
      <c r="Z49" s="7"/>
      <c r="AA49" s="7"/>
      <c r="AB49" s="7">
        <f>LOOKUP(F18,N49:X49,N48:X48)</f>
        <v>3</v>
      </c>
      <c r="AC49" s="7">
        <f>AB49+1</f>
        <v>4</v>
      </c>
      <c r="AD49" s="7"/>
    </row>
    <row r="50" spans="12:32" ht="15.75" hidden="1">
      <c r="L50" s="11">
        <v>2</v>
      </c>
      <c r="M50" s="14" t="s">
        <v>96</v>
      </c>
      <c r="N50" s="12">
        <v>0.1</v>
      </c>
      <c r="O50" s="12">
        <v>0.55</v>
      </c>
      <c r="P50" s="12">
        <v>0.9</v>
      </c>
      <c r="Q50" s="12">
        <v>1</v>
      </c>
      <c r="Y50" s="7"/>
      <c r="Z50" s="7"/>
      <c r="AA50" s="7"/>
      <c r="AB50" s="7">
        <f>LOOKUP(AB49,N48:X48,N49:X49)</f>
        <v>100</v>
      </c>
      <c r="AC50" s="7">
        <f>LOOKUP(AC49,N48:X48,N49:X49)</f>
        <v>150</v>
      </c>
      <c r="AD50" s="7"/>
      <c r="AE50" t="s">
        <v>99</v>
      </c>
      <c r="AF50" s="6">
        <f>IF(F34&gt;G34,IF(G34=0,F34,IF((F34-G34)&gt;AD45,F34,F34+G21)),"")</f>
        <v>0.9250778546712803</v>
      </c>
    </row>
    <row r="51" spans="12:32" ht="15.75" hidden="1">
      <c r="L51" s="7"/>
      <c r="M51" s="7"/>
      <c r="N51" s="7"/>
      <c r="O51" s="7"/>
      <c r="P51" s="7"/>
      <c r="Q51" s="7"/>
      <c r="R51" s="7"/>
      <c r="S51" s="7"/>
      <c r="T51" s="7"/>
      <c r="U51" s="7"/>
      <c r="V51" s="7"/>
      <c r="W51" s="7"/>
      <c r="X51" s="7"/>
      <c r="Y51" s="7"/>
      <c r="Z51" s="7"/>
      <c r="AA51" s="7"/>
      <c r="AB51" s="7">
        <f>LOOKUP(AB50,N49:X49,N50:X50)</f>
        <v>0.9</v>
      </c>
      <c r="AC51" s="7">
        <f>LOOKUP(AC50,N49:X49,N50:X50)</f>
        <v>1</v>
      </c>
      <c r="AD51" s="7">
        <f>IF(F18=150,AB51,((AC51-AB51)/(AC50-AB50))*(F18-AB50)+AB51)</f>
        <v>0.95</v>
      </c>
      <c r="AE51" t="s">
        <v>100</v>
      </c>
      <c r="AF51" s="5">
        <f>IF(G34&gt;F34,IF((G34-F34)&gt;AD51,G34,G34+G21),"")</f>
      </c>
    </row>
    <row r="52" ht="15.75" hidden="1"/>
    <row r="53" ht="15.75" hidden="1"/>
    <row r="54" ht="15.75" hidden="1"/>
    <row r="55" ht="15.75" hidden="1"/>
    <row r="56" ht="15.75" hidden="1"/>
    <row r="57" ht="15.75" hidden="1"/>
    <row r="58" ht="15.75" hidden="1"/>
    <row r="59" ht="15.75" hidden="1"/>
    <row r="60" ht="15.75" hidden="1"/>
    <row r="61" ht="15.75" hidden="1"/>
    <row r="62" ht="15.75" hidden="1"/>
    <row r="63" ht="15.75" hidden="1"/>
  </sheetData>
  <sheetProtection password="CC3B" sheet="1" objects="1" scenarios="1"/>
  <mergeCells count="69">
    <mergeCell ref="F6:G6"/>
    <mergeCell ref="B37:G37"/>
    <mergeCell ref="AC37:AD37"/>
    <mergeCell ref="AC33:AD33"/>
    <mergeCell ref="AC34:AD34"/>
    <mergeCell ref="AC35:AD35"/>
    <mergeCell ref="AC36:AD36"/>
    <mergeCell ref="AC26:AD26"/>
    <mergeCell ref="AC27:AD27"/>
    <mergeCell ref="AC31:AD31"/>
    <mergeCell ref="AC21:AD21"/>
    <mergeCell ref="AC32:AD32"/>
    <mergeCell ref="AC22:AD22"/>
    <mergeCell ref="AC23:AD23"/>
    <mergeCell ref="AC24:AD24"/>
    <mergeCell ref="AC25:AD25"/>
    <mergeCell ref="AC13:AD13"/>
    <mergeCell ref="AC14:AD14"/>
    <mergeCell ref="AC15:AD15"/>
    <mergeCell ref="AC16:AD16"/>
    <mergeCell ref="F10:G10"/>
    <mergeCell ref="AC10:AD10"/>
    <mergeCell ref="AC11:AD11"/>
    <mergeCell ref="AC12:AD12"/>
    <mergeCell ref="F11:G11"/>
    <mergeCell ref="F12:G12"/>
    <mergeCell ref="B9:D9"/>
    <mergeCell ref="B10:D10"/>
    <mergeCell ref="B11:D11"/>
    <mergeCell ref="B12:D12"/>
    <mergeCell ref="F13:G13"/>
    <mergeCell ref="B23:D23"/>
    <mergeCell ref="B16:D16"/>
    <mergeCell ref="B20:D20"/>
    <mergeCell ref="B13:D13"/>
    <mergeCell ref="B15:D15"/>
    <mergeCell ref="B24:D24"/>
    <mergeCell ref="B29:D29"/>
    <mergeCell ref="F17:G17"/>
    <mergeCell ref="F18:G18"/>
    <mergeCell ref="B17:D17"/>
    <mergeCell ref="B18:D18"/>
    <mergeCell ref="E28:G28"/>
    <mergeCell ref="B30:D30"/>
    <mergeCell ref="B14:G14"/>
    <mergeCell ref="B22:G22"/>
    <mergeCell ref="B27:G27"/>
    <mergeCell ref="E15:G15"/>
    <mergeCell ref="E23:G23"/>
    <mergeCell ref="B25:D25"/>
    <mergeCell ref="B26:D26"/>
    <mergeCell ref="B28:D28"/>
    <mergeCell ref="B21:D21"/>
    <mergeCell ref="B32:D32"/>
    <mergeCell ref="B31:G31"/>
    <mergeCell ref="B33:G33"/>
    <mergeCell ref="B34:E34"/>
    <mergeCell ref="B36:E36"/>
    <mergeCell ref="F36:G36"/>
    <mergeCell ref="B40:E40"/>
    <mergeCell ref="F38:G38"/>
    <mergeCell ref="F39:G39"/>
    <mergeCell ref="F40:G40"/>
    <mergeCell ref="B38:E38"/>
    <mergeCell ref="B39:E39"/>
    <mergeCell ref="B2:G2"/>
    <mergeCell ref="C4:D4"/>
    <mergeCell ref="C5:D5"/>
    <mergeCell ref="F5:G5"/>
  </mergeCells>
  <printOptions/>
  <pageMargins left="0.3" right="0.25" top="0.54" bottom="0.2" header="0" footer="0"/>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fpro@hcu-lblesa.es</Manager>
  <Company>Servicio Física y Prot. Rad.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Blindasjes RX</dc:title>
  <dc:subject>Blindajes</dc:subject>
  <dc:creator>P.Ruiz, MªA. Rivas</dc:creator>
  <cp:keywords/>
  <dc:description/>
  <cp:lastModifiedBy>HCUZ</cp:lastModifiedBy>
  <cp:lastPrinted>2005-07-28T07:28:56Z</cp:lastPrinted>
  <dcterms:created xsi:type="dcterms:W3CDTF">1999-06-17T11:53:34Z</dcterms:created>
  <dcterms:modified xsi:type="dcterms:W3CDTF">2007-02-28T12:18:47Z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